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vestment Team\Fund Factsheet Data\Holdings Breakdown\Q3 2018\2018 07 31\Sub funds\"/>
    </mc:Choice>
  </mc:AlternateContent>
  <bookViews>
    <workbookView xWindow="480" yWindow="30" windowWidth="27795" windowHeight="13350"/>
  </bookViews>
  <sheets>
    <sheet name="Holdings 2018 07 31" sheetId="1" r:id="rId1"/>
  </sheets>
  <calcPr calcId="152511"/>
</workbook>
</file>

<file path=xl/calcChain.xml><?xml version="1.0" encoding="utf-8"?>
<calcChain xmlns="http://schemas.openxmlformats.org/spreadsheetml/2006/main">
  <c r="A2" i="1" l="1"/>
  <c r="D2" i="1"/>
  <c r="A3" i="1"/>
  <c r="D3" i="1"/>
  <c r="A4" i="1"/>
  <c r="D4" i="1"/>
  <c r="A5" i="1"/>
  <c r="D5" i="1"/>
  <c r="A6" i="1"/>
  <c r="D6" i="1"/>
  <c r="A7" i="1"/>
  <c r="D7" i="1"/>
  <c r="A8" i="1"/>
  <c r="D8" i="1"/>
  <c r="A9" i="1"/>
  <c r="D9" i="1"/>
  <c r="A10" i="1"/>
  <c r="D10" i="1"/>
  <c r="A11" i="1"/>
  <c r="D11" i="1"/>
  <c r="A12" i="1"/>
  <c r="D12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35" i="1"/>
  <c r="D35" i="1"/>
  <c r="A36" i="1"/>
  <c r="D36" i="1"/>
  <c r="A37" i="1"/>
  <c r="D37" i="1"/>
  <c r="A38" i="1"/>
  <c r="D38" i="1"/>
  <c r="A39" i="1"/>
  <c r="D39" i="1"/>
  <c r="A40" i="1"/>
  <c r="D40" i="1"/>
  <c r="A41" i="1"/>
  <c r="D41" i="1"/>
  <c r="A42" i="1"/>
  <c r="D42" i="1"/>
  <c r="A43" i="1"/>
  <c r="D43" i="1"/>
  <c r="A44" i="1"/>
  <c r="D44" i="1"/>
  <c r="A45" i="1"/>
  <c r="D45" i="1"/>
  <c r="A46" i="1"/>
  <c r="D46" i="1"/>
  <c r="A47" i="1"/>
  <c r="D47" i="1"/>
  <c r="A48" i="1"/>
  <c r="D48" i="1"/>
  <c r="A49" i="1"/>
  <c r="D49" i="1"/>
  <c r="A50" i="1"/>
  <c r="D50" i="1"/>
  <c r="A51" i="1"/>
  <c r="D51" i="1"/>
  <c r="A52" i="1"/>
  <c r="D52" i="1"/>
  <c r="A53" i="1"/>
  <c r="D53" i="1"/>
  <c r="A54" i="1"/>
  <c r="D54" i="1"/>
  <c r="A55" i="1"/>
  <c r="D55" i="1"/>
  <c r="A56" i="1"/>
  <c r="D56" i="1"/>
  <c r="A57" i="1"/>
  <c r="D57" i="1"/>
  <c r="A58" i="1"/>
  <c r="D58" i="1"/>
  <c r="A59" i="1"/>
  <c r="D59" i="1"/>
  <c r="A60" i="1"/>
  <c r="D60" i="1"/>
  <c r="A61" i="1"/>
  <c r="D61" i="1"/>
  <c r="A62" i="1"/>
  <c r="D62" i="1"/>
  <c r="A63" i="1"/>
  <c r="D63" i="1"/>
  <c r="A64" i="1"/>
  <c r="D64" i="1"/>
  <c r="A65" i="1"/>
  <c r="D65" i="1"/>
  <c r="A66" i="1"/>
  <c r="A67" i="1"/>
  <c r="D67" i="1"/>
  <c r="A68" i="1"/>
  <c r="D68" i="1"/>
  <c r="A69" i="1"/>
  <c r="D69" i="1"/>
  <c r="A70" i="1"/>
  <c r="D70" i="1"/>
  <c r="A71" i="1"/>
  <c r="D71" i="1"/>
  <c r="A72" i="1"/>
  <c r="D72" i="1"/>
  <c r="A73" i="1"/>
  <c r="D73" i="1"/>
  <c r="A74" i="1"/>
  <c r="D74" i="1"/>
  <c r="A75" i="1"/>
  <c r="D75" i="1"/>
  <c r="A76" i="1"/>
  <c r="D76" i="1"/>
  <c r="A77" i="1"/>
  <c r="D77" i="1"/>
  <c r="A78" i="1"/>
  <c r="D78" i="1"/>
  <c r="A79" i="1"/>
  <c r="D79" i="1"/>
  <c r="A80" i="1"/>
  <c r="D80" i="1"/>
  <c r="A81" i="1"/>
  <c r="D81" i="1"/>
  <c r="A82" i="1"/>
  <c r="D82" i="1"/>
  <c r="A83" i="1"/>
  <c r="D83" i="1"/>
  <c r="A84" i="1"/>
  <c r="D84" i="1"/>
  <c r="A85" i="1"/>
  <c r="D85" i="1"/>
  <c r="A86" i="1"/>
  <c r="D86" i="1"/>
  <c r="A87" i="1"/>
  <c r="D87" i="1"/>
  <c r="A88" i="1"/>
  <c r="D88" i="1"/>
  <c r="A89" i="1"/>
  <c r="D89" i="1"/>
  <c r="A90" i="1"/>
  <c r="D90" i="1"/>
  <c r="A91" i="1"/>
  <c r="D91" i="1"/>
  <c r="A92" i="1"/>
  <c r="D92" i="1"/>
  <c r="A93" i="1"/>
  <c r="D93" i="1"/>
  <c r="A94" i="1"/>
  <c r="D94" i="1"/>
  <c r="A95" i="1"/>
  <c r="D95" i="1"/>
  <c r="A96" i="1"/>
  <c r="D96" i="1"/>
  <c r="A97" i="1"/>
  <c r="D97" i="1"/>
  <c r="A98" i="1"/>
  <c r="D98" i="1"/>
  <c r="A99" i="1"/>
  <c r="D99" i="1"/>
  <c r="A100" i="1"/>
  <c r="D100" i="1"/>
  <c r="A101" i="1"/>
  <c r="D101" i="1"/>
  <c r="A102" i="1"/>
  <c r="D102" i="1"/>
  <c r="A103" i="1"/>
  <c r="D103" i="1"/>
  <c r="A104" i="1"/>
  <c r="D104" i="1"/>
  <c r="A105" i="1"/>
  <c r="D105" i="1"/>
  <c r="A106" i="1"/>
  <c r="D106" i="1"/>
  <c r="A107" i="1"/>
  <c r="D107" i="1"/>
  <c r="A108" i="1"/>
  <c r="D108" i="1"/>
  <c r="A109" i="1"/>
  <c r="D109" i="1"/>
  <c r="A110" i="1"/>
  <c r="D110" i="1"/>
  <c r="A111" i="1"/>
  <c r="D111" i="1"/>
  <c r="A112" i="1"/>
  <c r="D112" i="1"/>
  <c r="A113" i="1"/>
  <c r="D113" i="1"/>
  <c r="A114" i="1"/>
  <c r="D114" i="1"/>
  <c r="A115" i="1"/>
  <c r="D115" i="1"/>
  <c r="A116" i="1"/>
  <c r="D116" i="1"/>
  <c r="A117" i="1"/>
  <c r="D117" i="1"/>
  <c r="A118" i="1"/>
  <c r="D118" i="1"/>
  <c r="A119" i="1"/>
  <c r="D119" i="1"/>
  <c r="A120" i="1"/>
  <c r="D120" i="1"/>
  <c r="A121" i="1"/>
  <c r="D121" i="1"/>
  <c r="A122" i="1"/>
  <c r="D122" i="1"/>
  <c r="A123" i="1"/>
  <c r="D123" i="1"/>
  <c r="A124" i="1"/>
  <c r="D124" i="1"/>
  <c r="A125" i="1"/>
  <c r="D125" i="1"/>
  <c r="A126" i="1"/>
  <c r="D126" i="1"/>
  <c r="A127" i="1"/>
  <c r="D127" i="1"/>
  <c r="A128" i="1"/>
  <c r="D128" i="1"/>
  <c r="A129" i="1"/>
  <c r="D129" i="1"/>
  <c r="A130" i="1"/>
  <c r="D130" i="1"/>
  <c r="A131" i="1"/>
  <c r="D131" i="1"/>
  <c r="A132" i="1"/>
  <c r="D132" i="1"/>
  <c r="A133" i="1"/>
  <c r="D133" i="1"/>
  <c r="A134" i="1"/>
  <c r="D134" i="1"/>
  <c r="A135" i="1"/>
  <c r="D135" i="1"/>
  <c r="A136" i="1"/>
  <c r="D136" i="1"/>
  <c r="A137" i="1"/>
  <c r="D137" i="1"/>
  <c r="A138" i="1"/>
  <c r="D138" i="1"/>
  <c r="A139" i="1"/>
  <c r="D139" i="1"/>
  <c r="A140" i="1"/>
  <c r="D140" i="1"/>
  <c r="A141" i="1"/>
  <c r="D141" i="1"/>
  <c r="A142" i="1"/>
  <c r="D142" i="1"/>
  <c r="A143" i="1"/>
  <c r="D143" i="1"/>
  <c r="A144" i="1"/>
  <c r="D144" i="1"/>
  <c r="A145" i="1"/>
  <c r="D145" i="1"/>
  <c r="A146" i="1"/>
  <c r="D146" i="1"/>
  <c r="A147" i="1"/>
  <c r="D147" i="1"/>
  <c r="A148" i="1"/>
  <c r="D148" i="1"/>
  <c r="A149" i="1"/>
  <c r="D149" i="1"/>
  <c r="A150" i="1"/>
  <c r="D150" i="1"/>
  <c r="A151" i="1"/>
  <c r="D151" i="1"/>
  <c r="A152" i="1"/>
  <c r="D152" i="1"/>
  <c r="A153" i="1"/>
  <c r="D153" i="1"/>
  <c r="A154" i="1"/>
  <c r="A155" i="1"/>
  <c r="D155" i="1"/>
  <c r="A156" i="1"/>
  <c r="D156" i="1"/>
  <c r="A157" i="1"/>
  <c r="D157" i="1"/>
  <c r="A158" i="1"/>
  <c r="D158" i="1"/>
  <c r="A159" i="1"/>
  <c r="D159" i="1"/>
  <c r="A160" i="1"/>
  <c r="D160" i="1"/>
  <c r="A161" i="1"/>
  <c r="D161" i="1"/>
  <c r="A162" i="1"/>
  <c r="D162" i="1"/>
  <c r="A163" i="1"/>
  <c r="D163" i="1"/>
  <c r="A164" i="1"/>
  <c r="D164" i="1"/>
  <c r="A165" i="1"/>
  <c r="D165" i="1"/>
  <c r="A166" i="1"/>
  <c r="D166" i="1"/>
  <c r="A167" i="1"/>
  <c r="D167" i="1"/>
  <c r="A168" i="1"/>
  <c r="D168" i="1"/>
  <c r="A169" i="1"/>
  <c r="D169" i="1"/>
  <c r="A170" i="1"/>
  <c r="D170" i="1"/>
  <c r="A171" i="1"/>
  <c r="D171" i="1"/>
  <c r="A172" i="1"/>
  <c r="D172" i="1"/>
  <c r="A173" i="1"/>
  <c r="D173" i="1"/>
  <c r="A174" i="1"/>
  <c r="D174" i="1"/>
  <c r="A175" i="1"/>
  <c r="D175" i="1"/>
  <c r="A176" i="1"/>
  <c r="D176" i="1"/>
  <c r="A177" i="1"/>
  <c r="D177" i="1"/>
  <c r="A178" i="1"/>
  <c r="D178" i="1"/>
  <c r="A179" i="1"/>
  <c r="D179" i="1"/>
  <c r="A180" i="1"/>
  <c r="D180" i="1"/>
  <c r="A181" i="1"/>
  <c r="D181" i="1"/>
  <c r="A182" i="1"/>
  <c r="D182" i="1"/>
  <c r="A183" i="1"/>
  <c r="D183" i="1"/>
  <c r="A184" i="1"/>
  <c r="D184" i="1"/>
  <c r="A185" i="1"/>
  <c r="D185" i="1"/>
  <c r="A186" i="1"/>
  <c r="D186" i="1"/>
  <c r="A187" i="1"/>
  <c r="D187" i="1"/>
  <c r="A188" i="1"/>
  <c r="D188" i="1"/>
  <c r="A189" i="1"/>
  <c r="D189" i="1"/>
  <c r="A190" i="1"/>
  <c r="D190" i="1"/>
  <c r="A191" i="1"/>
  <c r="D191" i="1"/>
  <c r="A192" i="1"/>
  <c r="A193" i="1"/>
  <c r="D193" i="1"/>
  <c r="A194" i="1"/>
  <c r="D194" i="1"/>
  <c r="A195" i="1"/>
  <c r="D195" i="1"/>
  <c r="A196" i="1"/>
  <c r="D196" i="1"/>
  <c r="A197" i="1"/>
  <c r="D197" i="1"/>
  <c r="A198" i="1"/>
  <c r="D198" i="1"/>
  <c r="A199" i="1"/>
  <c r="D199" i="1"/>
  <c r="A200" i="1"/>
  <c r="D200" i="1"/>
  <c r="A201" i="1"/>
  <c r="D201" i="1"/>
  <c r="A202" i="1"/>
  <c r="D202" i="1"/>
  <c r="A203" i="1"/>
  <c r="D203" i="1"/>
  <c r="A204" i="1"/>
  <c r="D204" i="1"/>
  <c r="A205" i="1"/>
  <c r="D205" i="1"/>
  <c r="A206" i="1"/>
  <c r="D206" i="1"/>
  <c r="A207" i="1"/>
  <c r="D207" i="1"/>
  <c r="A208" i="1"/>
  <c r="D208" i="1"/>
  <c r="A209" i="1"/>
  <c r="A210" i="1"/>
  <c r="D210" i="1"/>
  <c r="A211" i="1"/>
  <c r="D211" i="1"/>
  <c r="A212" i="1"/>
  <c r="D212" i="1"/>
  <c r="A213" i="1"/>
  <c r="D213" i="1"/>
  <c r="A214" i="1"/>
  <c r="D214" i="1"/>
  <c r="A215" i="1"/>
  <c r="D215" i="1"/>
  <c r="A216" i="1"/>
  <c r="D216" i="1"/>
  <c r="A217" i="1"/>
  <c r="D217" i="1"/>
  <c r="A218" i="1"/>
  <c r="D218" i="1"/>
  <c r="A219" i="1"/>
  <c r="D219" i="1"/>
  <c r="A220" i="1"/>
  <c r="D220" i="1"/>
  <c r="A221" i="1"/>
  <c r="D221" i="1"/>
  <c r="A222" i="1"/>
  <c r="D222" i="1"/>
  <c r="A223" i="1"/>
  <c r="D223" i="1"/>
  <c r="A224" i="1"/>
  <c r="D224" i="1"/>
  <c r="A225" i="1"/>
  <c r="D225" i="1"/>
  <c r="A226" i="1"/>
  <c r="D226" i="1"/>
  <c r="A227" i="1"/>
  <c r="D227" i="1"/>
  <c r="A228" i="1"/>
  <c r="D228" i="1"/>
  <c r="A229" i="1"/>
  <c r="D229" i="1"/>
  <c r="A230" i="1"/>
  <c r="D230" i="1"/>
  <c r="A231" i="1"/>
  <c r="D231" i="1"/>
  <c r="A232" i="1"/>
  <c r="D232" i="1"/>
  <c r="A233" i="1"/>
  <c r="D233" i="1"/>
  <c r="A234" i="1"/>
  <c r="D234" i="1"/>
  <c r="A235" i="1"/>
  <c r="D235" i="1"/>
  <c r="A236" i="1"/>
  <c r="D236" i="1"/>
  <c r="A237" i="1"/>
  <c r="D237" i="1"/>
  <c r="A238" i="1"/>
  <c r="D238" i="1"/>
  <c r="A239" i="1"/>
  <c r="D239" i="1"/>
  <c r="A240" i="1"/>
  <c r="D240" i="1"/>
  <c r="A241" i="1"/>
  <c r="D241" i="1"/>
  <c r="A242" i="1"/>
  <c r="D242" i="1"/>
  <c r="A243" i="1"/>
  <c r="D243" i="1"/>
  <c r="A244" i="1"/>
  <c r="D244" i="1"/>
  <c r="A245" i="1"/>
  <c r="D245" i="1"/>
  <c r="A246" i="1"/>
  <c r="D246" i="1"/>
  <c r="A247" i="1"/>
  <c r="D247" i="1"/>
  <c r="A248" i="1"/>
  <c r="D248" i="1"/>
  <c r="A249" i="1"/>
  <c r="D249" i="1"/>
  <c r="A250" i="1"/>
  <c r="D250" i="1"/>
  <c r="A251" i="1"/>
  <c r="D251" i="1"/>
  <c r="A252" i="1"/>
  <c r="D252" i="1"/>
  <c r="A253" i="1"/>
  <c r="D253" i="1"/>
  <c r="A254" i="1"/>
  <c r="D254" i="1"/>
  <c r="A255" i="1"/>
  <c r="D255" i="1"/>
  <c r="A256" i="1"/>
  <c r="D256" i="1"/>
  <c r="A257" i="1"/>
  <c r="D257" i="1"/>
  <c r="A258" i="1"/>
  <c r="D258" i="1"/>
  <c r="A259" i="1"/>
  <c r="D259" i="1"/>
  <c r="A260" i="1"/>
  <c r="D260" i="1"/>
  <c r="A261" i="1"/>
  <c r="D261" i="1"/>
  <c r="A262" i="1"/>
  <c r="D262" i="1"/>
  <c r="A263" i="1"/>
  <c r="D263" i="1"/>
  <c r="A264" i="1"/>
  <c r="D264" i="1"/>
  <c r="A265" i="1"/>
  <c r="D265" i="1"/>
  <c r="A266" i="1"/>
  <c r="D266" i="1"/>
  <c r="A267" i="1"/>
  <c r="D267" i="1"/>
  <c r="A268" i="1"/>
  <c r="D268" i="1"/>
  <c r="A269" i="1"/>
  <c r="D269" i="1"/>
  <c r="A270" i="1"/>
  <c r="D270" i="1"/>
  <c r="A271" i="1"/>
  <c r="D271" i="1"/>
  <c r="A272" i="1"/>
  <c r="D272" i="1"/>
  <c r="A273" i="1"/>
  <c r="D273" i="1"/>
  <c r="A274" i="1"/>
  <c r="D274" i="1"/>
  <c r="A275" i="1"/>
  <c r="D275" i="1"/>
  <c r="A276" i="1"/>
  <c r="D276" i="1"/>
  <c r="A277" i="1"/>
  <c r="D277" i="1"/>
  <c r="A278" i="1"/>
  <c r="D278" i="1"/>
  <c r="A279" i="1"/>
  <c r="D279" i="1"/>
  <c r="A280" i="1"/>
  <c r="D280" i="1"/>
  <c r="A281" i="1"/>
  <c r="D281" i="1"/>
  <c r="A282" i="1"/>
  <c r="D282" i="1"/>
  <c r="A283" i="1"/>
  <c r="D283" i="1"/>
  <c r="A284" i="1"/>
  <c r="D284" i="1"/>
  <c r="A285" i="1"/>
  <c r="D285" i="1"/>
  <c r="A286" i="1"/>
  <c r="D286" i="1"/>
  <c r="A287" i="1"/>
  <c r="D287" i="1"/>
  <c r="A288" i="1"/>
  <c r="D288" i="1"/>
  <c r="A289" i="1"/>
  <c r="D289" i="1"/>
  <c r="A290" i="1"/>
  <c r="D290" i="1"/>
  <c r="A291" i="1"/>
  <c r="D291" i="1"/>
  <c r="A292" i="1"/>
  <c r="D292" i="1"/>
  <c r="A293" i="1"/>
  <c r="D293" i="1"/>
  <c r="A294" i="1"/>
  <c r="D294" i="1"/>
  <c r="A295" i="1"/>
  <c r="D295" i="1"/>
  <c r="A296" i="1"/>
  <c r="D296" i="1"/>
  <c r="A297" i="1"/>
  <c r="D297" i="1"/>
  <c r="A298" i="1"/>
  <c r="D298" i="1"/>
  <c r="A299" i="1"/>
  <c r="D299" i="1"/>
  <c r="A300" i="1"/>
  <c r="D300" i="1"/>
  <c r="A301" i="1"/>
  <c r="D301" i="1"/>
  <c r="A302" i="1"/>
  <c r="D302" i="1"/>
  <c r="A303" i="1"/>
  <c r="D303" i="1"/>
  <c r="A304" i="1"/>
  <c r="D304" i="1"/>
  <c r="A305" i="1"/>
  <c r="D305" i="1"/>
  <c r="A306" i="1"/>
  <c r="D306" i="1"/>
  <c r="A307" i="1"/>
  <c r="D307" i="1"/>
  <c r="A308" i="1"/>
  <c r="D308" i="1"/>
  <c r="A309" i="1"/>
  <c r="D309" i="1"/>
  <c r="A310" i="1"/>
  <c r="D310" i="1"/>
  <c r="A311" i="1"/>
  <c r="D311" i="1"/>
  <c r="A312" i="1"/>
  <c r="D312" i="1"/>
  <c r="A313" i="1"/>
  <c r="D313" i="1"/>
  <c r="A314" i="1"/>
  <c r="D314" i="1"/>
  <c r="A315" i="1"/>
  <c r="D315" i="1"/>
  <c r="A316" i="1"/>
  <c r="D316" i="1"/>
  <c r="A317" i="1"/>
  <c r="D317" i="1"/>
  <c r="A318" i="1"/>
  <c r="D318" i="1"/>
  <c r="A319" i="1"/>
  <c r="D319" i="1"/>
  <c r="A320" i="1"/>
  <c r="D320" i="1"/>
  <c r="A321" i="1"/>
  <c r="D321" i="1"/>
  <c r="A322" i="1"/>
  <c r="D322" i="1"/>
  <c r="A323" i="1"/>
  <c r="D323" i="1"/>
  <c r="A324" i="1"/>
  <c r="D324" i="1"/>
  <c r="A325" i="1"/>
  <c r="D325" i="1"/>
  <c r="A326" i="1"/>
  <c r="D326" i="1"/>
  <c r="A327" i="1"/>
  <c r="D327" i="1"/>
  <c r="A328" i="1"/>
  <c r="D328" i="1"/>
  <c r="A329" i="1"/>
  <c r="D329" i="1"/>
  <c r="A330" i="1"/>
  <c r="D330" i="1"/>
  <c r="A331" i="1"/>
  <c r="D331" i="1"/>
  <c r="A332" i="1"/>
  <c r="D332" i="1"/>
  <c r="A333" i="1"/>
  <c r="D333" i="1"/>
  <c r="A334" i="1"/>
  <c r="D334" i="1"/>
  <c r="A335" i="1"/>
  <c r="D335" i="1"/>
  <c r="A336" i="1"/>
  <c r="D336" i="1"/>
  <c r="A337" i="1"/>
  <c r="D337" i="1"/>
  <c r="A338" i="1"/>
  <c r="D338" i="1"/>
  <c r="A339" i="1"/>
  <c r="D339" i="1"/>
  <c r="A340" i="1"/>
  <c r="D340" i="1"/>
  <c r="A341" i="1"/>
  <c r="D341" i="1"/>
  <c r="A342" i="1"/>
  <c r="D342" i="1"/>
  <c r="A343" i="1"/>
  <c r="D343" i="1"/>
  <c r="A344" i="1"/>
  <c r="D344" i="1"/>
  <c r="A345" i="1"/>
  <c r="D345" i="1"/>
  <c r="A346" i="1"/>
  <c r="D346" i="1"/>
  <c r="A347" i="1"/>
  <c r="D347" i="1"/>
  <c r="A348" i="1"/>
  <c r="D348" i="1"/>
  <c r="A349" i="1"/>
  <c r="D349" i="1"/>
  <c r="A350" i="1"/>
  <c r="D350" i="1"/>
  <c r="A351" i="1"/>
  <c r="D351" i="1"/>
  <c r="A352" i="1"/>
  <c r="D352" i="1"/>
  <c r="A353" i="1"/>
  <c r="D353" i="1"/>
  <c r="A354" i="1"/>
  <c r="D354" i="1"/>
  <c r="A355" i="1"/>
  <c r="D355" i="1"/>
  <c r="A356" i="1"/>
  <c r="D356" i="1"/>
  <c r="A357" i="1"/>
  <c r="D357" i="1"/>
  <c r="A358" i="1"/>
  <c r="D358" i="1"/>
  <c r="A359" i="1"/>
  <c r="D359" i="1"/>
  <c r="A360" i="1"/>
  <c r="D360" i="1"/>
  <c r="A361" i="1"/>
  <c r="D361" i="1"/>
  <c r="A362" i="1"/>
  <c r="D362" i="1"/>
  <c r="A363" i="1"/>
  <c r="D363" i="1"/>
  <c r="A364" i="1"/>
  <c r="D364" i="1"/>
  <c r="A365" i="1"/>
  <c r="D365" i="1"/>
  <c r="A366" i="1"/>
  <c r="D366" i="1"/>
  <c r="A367" i="1"/>
  <c r="D367" i="1"/>
  <c r="A368" i="1"/>
  <c r="D368" i="1"/>
  <c r="A369" i="1"/>
  <c r="D369" i="1"/>
  <c r="A370" i="1"/>
  <c r="D370" i="1"/>
  <c r="A371" i="1"/>
  <c r="D371" i="1"/>
  <c r="A372" i="1"/>
  <c r="D372" i="1"/>
  <c r="A373" i="1"/>
  <c r="D373" i="1"/>
  <c r="A374" i="1"/>
  <c r="D374" i="1"/>
  <c r="A375" i="1"/>
  <c r="D375" i="1"/>
  <c r="A376" i="1"/>
  <c r="D376" i="1"/>
  <c r="A377" i="1"/>
  <c r="D377" i="1"/>
  <c r="A378" i="1"/>
  <c r="D378" i="1"/>
  <c r="A379" i="1"/>
  <c r="D379" i="1"/>
  <c r="A380" i="1"/>
  <c r="D380" i="1"/>
  <c r="A381" i="1"/>
  <c r="D381" i="1"/>
  <c r="A382" i="1"/>
  <c r="D382" i="1"/>
  <c r="A383" i="1"/>
  <c r="D383" i="1"/>
  <c r="A384" i="1"/>
  <c r="D384" i="1"/>
  <c r="A385" i="1"/>
  <c r="D385" i="1"/>
  <c r="A386" i="1"/>
  <c r="D386" i="1"/>
  <c r="A387" i="1"/>
  <c r="D387" i="1"/>
  <c r="A388" i="1"/>
  <c r="D388" i="1"/>
  <c r="A389" i="1"/>
  <c r="D389" i="1"/>
  <c r="A390" i="1"/>
  <c r="D390" i="1"/>
  <c r="A391" i="1"/>
  <c r="D391" i="1"/>
  <c r="A392" i="1"/>
  <c r="D392" i="1"/>
  <c r="A393" i="1"/>
  <c r="D393" i="1"/>
  <c r="A394" i="1"/>
  <c r="D394" i="1"/>
  <c r="A395" i="1"/>
  <c r="D395" i="1"/>
  <c r="A396" i="1"/>
  <c r="D396" i="1"/>
  <c r="A397" i="1"/>
  <c r="D397" i="1"/>
  <c r="A398" i="1"/>
  <c r="D398" i="1"/>
  <c r="A399" i="1"/>
  <c r="D399" i="1"/>
  <c r="A400" i="1"/>
  <c r="D400" i="1"/>
  <c r="A401" i="1"/>
  <c r="D401" i="1"/>
  <c r="A402" i="1"/>
  <c r="D402" i="1"/>
  <c r="A403" i="1"/>
  <c r="D403" i="1"/>
  <c r="A404" i="1"/>
  <c r="D404" i="1"/>
  <c r="A405" i="1"/>
  <c r="D405" i="1"/>
  <c r="A406" i="1"/>
  <c r="D406" i="1"/>
  <c r="A407" i="1"/>
  <c r="D407" i="1"/>
  <c r="A408" i="1"/>
  <c r="D408" i="1"/>
  <c r="A409" i="1"/>
  <c r="D409" i="1"/>
  <c r="A410" i="1"/>
  <c r="D410" i="1"/>
  <c r="A411" i="1"/>
  <c r="D411" i="1"/>
  <c r="A412" i="1"/>
  <c r="D412" i="1"/>
  <c r="A413" i="1"/>
  <c r="D413" i="1"/>
  <c r="A414" i="1"/>
  <c r="D414" i="1"/>
  <c r="A415" i="1"/>
  <c r="D415" i="1"/>
  <c r="A416" i="1"/>
  <c r="D416" i="1"/>
  <c r="A417" i="1"/>
  <c r="D417" i="1"/>
  <c r="A418" i="1"/>
  <c r="D418" i="1"/>
  <c r="A419" i="1"/>
  <c r="D419" i="1"/>
  <c r="A420" i="1"/>
  <c r="D420" i="1"/>
  <c r="A421" i="1"/>
  <c r="D421" i="1"/>
  <c r="A422" i="1"/>
  <c r="D422" i="1"/>
  <c r="A423" i="1"/>
  <c r="D423" i="1"/>
  <c r="A424" i="1"/>
  <c r="D424" i="1"/>
  <c r="A425" i="1"/>
  <c r="D425" i="1"/>
  <c r="A426" i="1"/>
  <c r="D426" i="1"/>
  <c r="A427" i="1"/>
  <c r="D427" i="1"/>
  <c r="A428" i="1"/>
  <c r="D428" i="1"/>
  <c r="A429" i="1"/>
  <c r="D429" i="1"/>
  <c r="A430" i="1"/>
  <c r="D430" i="1"/>
  <c r="A431" i="1"/>
  <c r="D431" i="1"/>
  <c r="A432" i="1"/>
  <c r="D432" i="1"/>
  <c r="A433" i="1"/>
  <c r="D433" i="1"/>
  <c r="A434" i="1"/>
  <c r="D434" i="1"/>
  <c r="A435" i="1"/>
  <c r="D435" i="1"/>
  <c r="A436" i="1"/>
  <c r="D436" i="1"/>
  <c r="A437" i="1"/>
  <c r="D437" i="1"/>
  <c r="A438" i="1"/>
  <c r="D438" i="1"/>
  <c r="A439" i="1"/>
  <c r="D439" i="1"/>
  <c r="A440" i="1"/>
  <c r="D440" i="1"/>
  <c r="A441" i="1"/>
  <c r="D441" i="1"/>
  <c r="A442" i="1"/>
  <c r="D442" i="1"/>
  <c r="A443" i="1"/>
  <c r="D443" i="1"/>
  <c r="A444" i="1"/>
  <c r="D444" i="1"/>
  <c r="A445" i="1"/>
  <c r="D445" i="1"/>
  <c r="A446" i="1"/>
  <c r="D446" i="1"/>
  <c r="A447" i="1"/>
  <c r="D447" i="1"/>
  <c r="A448" i="1"/>
  <c r="D448" i="1"/>
  <c r="A449" i="1"/>
  <c r="D449" i="1"/>
  <c r="A450" i="1"/>
  <c r="A451" i="1"/>
  <c r="D451" i="1"/>
  <c r="A452" i="1"/>
  <c r="D452" i="1"/>
  <c r="A453" i="1"/>
  <c r="D453" i="1"/>
  <c r="A454" i="1"/>
  <c r="D454" i="1"/>
  <c r="A455" i="1"/>
  <c r="D455" i="1"/>
  <c r="A456" i="1"/>
  <c r="D456" i="1"/>
  <c r="A457" i="1"/>
  <c r="D457" i="1"/>
  <c r="A458" i="1"/>
  <c r="D458" i="1"/>
  <c r="A459" i="1"/>
  <c r="D459" i="1"/>
  <c r="A460" i="1"/>
  <c r="D460" i="1"/>
  <c r="A461" i="1"/>
  <c r="D461" i="1"/>
  <c r="A462" i="1"/>
  <c r="D462" i="1"/>
  <c r="A463" i="1"/>
  <c r="D463" i="1"/>
  <c r="A464" i="1"/>
  <c r="D464" i="1"/>
  <c r="A465" i="1"/>
  <c r="D465" i="1"/>
  <c r="A466" i="1"/>
  <c r="D466" i="1"/>
  <c r="A467" i="1"/>
  <c r="D467" i="1"/>
  <c r="A468" i="1"/>
  <c r="D468" i="1"/>
  <c r="A469" i="1"/>
  <c r="D469" i="1"/>
  <c r="A470" i="1"/>
  <c r="D470" i="1"/>
  <c r="A471" i="1"/>
  <c r="D471" i="1"/>
  <c r="A472" i="1"/>
  <c r="D472" i="1"/>
  <c r="A473" i="1"/>
  <c r="D473" i="1"/>
  <c r="A474" i="1"/>
  <c r="D474" i="1"/>
  <c r="A475" i="1"/>
  <c r="D475" i="1"/>
  <c r="A476" i="1"/>
  <c r="D476" i="1"/>
  <c r="A477" i="1"/>
  <c r="D477" i="1"/>
  <c r="A478" i="1"/>
  <c r="D478" i="1"/>
  <c r="A479" i="1"/>
  <c r="D479" i="1"/>
  <c r="A480" i="1"/>
  <c r="D480" i="1"/>
  <c r="A481" i="1"/>
  <c r="D481" i="1"/>
  <c r="A482" i="1"/>
  <c r="D482" i="1"/>
  <c r="A483" i="1"/>
  <c r="D483" i="1"/>
  <c r="A484" i="1"/>
  <c r="D484" i="1"/>
  <c r="A485" i="1"/>
  <c r="D485" i="1"/>
  <c r="A486" i="1"/>
  <c r="D486" i="1"/>
  <c r="A487" i="1"/>
  <c r="D487" i="1"/>
  <c r="A488" i="1"/>
  <c r="D488" i="1"/>
  <c r="A489" i="1"/>
  <c r="D489" i="1"/>
  <c r="A490" i="1"/>
  <c r="D490" i="1"/>
  <c r="A491" i="1"/>
  <c r="D491" i="1"/>
  <c r="A492" i="1"/>
  <c r="D492" i="1"/>
  <c r="A493" i="1"/>
  <c r="D493" i="1"/>
  <c r="A494" i="1"/>
  <c r="D494" i="1"/>
  <c r="A495" i="1"/>
  <c r="D495" i="1"/>
  <c r="A496" i="1"/>
  <c r="D496" i="1"/>
  <c r="A497" i="1"/>
  <c r="D497" i="1"/>
  <c r="A498" i="1"/>
  <c r="D498" i="1"/>
  <c r="A499" i="1"/>
  <c r="D499" i="1"/>
  <c r="A500" i="1"/>
  <c r="D500" i="1"/>
  <c r="A501" i="1"/>
  <c r="D501" i="1"/>
  <c r="A502" i="1"/>
  <c r="D502" i="1"/>
  <c r="A503" i="1"/>
  <c r="D503" i="1"/>
  <c r="A504" i="1"/>
  <c r="D504" i="1"/>
  <c r="A505" i="1"/>
  <c r="D505" i="1"/>
  <c r="A506" i="1"/>
  <c r="D506" i="1"/>
  <c r="A507" i="1"/>
  <c r="D507" i="1"/>
  <c r="A508" i="1"/>
  <c r="D508" i="1"/>
  <c r="A509" i="1"/>
  <c r="D509" i="1"/>
  <c r="A510" i="1"/>
  <c r="D510" i="1"/>
  <c r="A511" i="1"/>
  <c r="D511" i="1"/>
  <c r="A512" i="1"/>
  <c r="D512" i="1"/>
  <c r="A513" i="1"/>
  <c r="D513" i="1"/>
  <c r="A514" i="1"/>
  <c r="D514" i="1"/>
  <c r="A515" i="1"/>
  <c r="D515" i="1"/>
  <c r="A516" i="1"/>
  <c r="D516" i="1"/>
  <c r="A517" i="1"/>
  <c r="D517" i="1"/>
  <c r="A518" i="1"/>
  <c r="D518" i="1"/>
  <c r="A519" i="1"/>
  <c r="D519" i="1"/>
  <c r="A520" i="1"/>
  <c r="D520" i="1"/>
  <c r="A521" i="1"/>
  <c r="D521" i="1"/>
  <c r="A522" i="1"/>
  <c r="D522" i="1"/>
  <c r="A523" i="1"/>
  <c r="D523" i="1"/>
  <c r="A524" i="1"/>
  <c r="D524" i="1"/>
  <c r="A525" i="1"/>
  <c r="D525" i="1"/>
  <c r="A526" i="1"/>
  <c r="D526" i="1"/>
  <c r="A527" i="1"/>
  <c r="D527" i="1"/>
  <c r="A528" i="1"/>
  <c r="D528" i="1"/>
  <c r="A529" i="1"/>
  <c r="D529" i="1"/>
  <c r="A530" i="1"/>
  <c r="D530" i="1"/>
  <c r="A531" i="1"/>
  <c r="D531" i="1"/>
  <c r="A532" i="1"/>
  <c r="D532" i="1"/>
  <c r="A533" i="1"/>
  <c r="D533" i="1"/>
  <c r="A534" i="1"/>
  <c r="D534" i="1"/>
  <c r="A535" i="1"/>
  <c r="D535" i="1"/>
  <c r="A536" i="1"/>
  <c r="D536" i="1"/>
  <c r="A537" i="1"/>
  <c r="D537" i="1"/>
  <c r="A538" i="1"/>
  <c r="D538" i="1"/>
  <c r="A539" i="1"/>
  <c r="D539" i="1"/>
  <c r="A540" i="1"/>
  <c r="D540" i="1"/>
  <c r="A541" i="1"/>
  <c r="D541" i="1"/>
  <c r="A542" i="1"/>
  <c r="D542" i="1"/>
  <c r="A543" i="1"/>
  <c r="D543" i="1"/>
  <c r="A544" i="1"/>
  <c r="D544" i="1"/>
  <c r="A545" i="1"/>
  <c r="A546" i="1"/>
  <c r="D546" i="1"/>
  <c r="A547" i="1"/>
  <c r="D547" i="1"/>
  <c r="A548" i="1"/>
  <c r="D548" i="1"/>
  <c r="A549" i="1"/>
  <c r="D549" i="1"/>
  <c r="A550" i="1"/>
  <c r="D550" i="1"/>
  <c r="A551" i="1"/>
  <c r="D551" i="1"/>
  <c r="A552" i="1"/>
  <c r="D552" i="1"/>
  <c r="A553" i="1"/>
  <c r="D553" i="1"/>
  <c r="A554" i="1"/>
  <c r="D554" i="1"/>
  <c r="A555" i="1"/>
  <c r="D555" i="1"/>
  <c r="A556" i="1"/>
  <c r="D556" i="1"/>
  <c r="A557" i="1"/>
  <c r="D557" i="1"/>
  <c r="A558" i="1"/>
  <c r="D558" i="1"/>
  <c r="A559" i="1"/>
  <c r="D559" i="1"/>
  <c r="A560" i="1"/>
  <c r="D560" i="1"/>
  <c r="A561" i="1"/>
  <c r="D561" i="1"/>
  <c r="A562" i="1"/>
  <c r="D562" i="1"/>
  <c r="A563" i="1"/>
  <c r="D563" i="1"/>
  <c r="A564" i="1"/>
  <c r="D564" i="1"/>
  <c r="A565" i="1"/>
  <c r="D565" i="1"/>
  <c r="A566" i="1"/>
  <c r="D566" i="1"/>
  <c r="A567" i="1"/>
  <c r="D567" i="1"/>
  <c r="A568" i="1"/>
  <c r="D568" i="1"/>
  <c r="A569" i="1"/>
  <c r="D569" i="1"/>
  <c r="A570" i="1"/>
  <c r="D570" i="1"/>
  <c r="A571" i="1"/>
  <c r="D571" i="1"/>
  <c r="A572" i="1"/>
  <c r="D572" i="1"/>
  <c r="A573" i="1"/>
  <c r="D573" i="1"/>
  <c r="A574" i="1"/>
  <c r="D574" i="1"/>
  <c r="A575" i="1"/>
  <c r="D575" i="1"/>
  <c r="A576" i="1"/>
  <c r="D576" i="1"/>
  <c r="A577" i="1"/>
  <c r="D577" i="1"/>
  <c r="A578" i="1"/>
  <c r="D578" i="1"/>
  <c r="A579" i="1"/>
  <c r="D579" i="1"/>
  <c r="A580" i="1"/>
  <c r="D580" i="1"/>
  <c r="A581" i="1"/>
  <c r="D581" i="1"/>
  <c r="A582" i="1"/>
  <c r="D582" i="1"/>
  <c r="A583" i="1"/>
  <c r="D583" i="1"/>
  <c r="A584" i="1"/>
  <c r="D584" i="1"/>
  <c r="A585" i="1"/>
  <c r="D585" i="1"/>
  <c r="A586" i="1"/>
  <c r="D586" i="1"/>
  <c r="A587" i="1"/>
  <c r="A588" i="1"/>
  <c r="D588" i="1"/>
  <c r="A589" i="1"/>
  <c r="D589" i="1"/>
  <c r="A590" i="1"/>
  <c r="D590" i="1"/>
  <c r="A591" i="1"/>
  <c r="D591" i="1"/>
  <c r="A592" i="1"/>
  <c r="D592" i="1"/>
  <c r="A593" i="1"/>
  <c r="D593" i="1"/>
  <c r="A594" i="1"/>
  <c r="D594" i="1"/>
  <c r="A595" i="1"/>
  <c r="D595" i="1"/>
  <c r="A596" i="1"/>
  <c r="D596" i="1"/>
  <c r="A597" i="1"/>
  <c r="D597" i="1"/>
  <c r="A598" i="1"/>
  <c r="A599" i="1"/>
  <c r="D599" i="1"/>
  <c r="A600" i="1"/>
  <c r="D600" i="1"/>
  <c r="A601" i="1"/>
  <c r="D601" i="1"/>
  <c r="A602" i="1"/>
  <c r="D602" i="1"/>
  <c r="A603" i="1"/>
  <c r="D603" i="1"/>
  <c r="A604" i="1"/>
  <c r="D604" i="1"/>
  <c r="A605" i="1"/>
  <c r="D605" i="1"/>
  <c r="A606" i="1"/>
  <c r="D606" i="1"/>
  <c r="A607" i="1"/>
  <c r="D607" i="1"/>
  <c r="A608" i="1"/>
  <c r="D608" i="1"/>
  <c r="A609" i="1"/>
  <c r="D609" i="1"/>
  <c r="A610" i="1"/>
  <c r="D610" i="1"/>
  <c r="A611" i="1"/>
  <c r="D611" i="1"/>
  <c r="A612" i="1"/>
  <c r="D612" i="1"/>
  <c r="A613" i="1"/>
  <c r="D613" i="1"/>
  <c r="A614" i="1"/>
  <c r="D614" i="1"/>
  <c r="A615" i="1"/>
  <c r="D615" i="1"/>
  <c r="A616" i="1"/>
  <c r="D616" i="1"/>
  <c r="A617" i="1"/>
  <c r="D617" i="1"/>
  <c r="A618" i="1"/>
  <c r="D618" i="1"/>
  <c r="A619" i="1"/>
  <c r="D619" i="1"/>
  <c r="A620" i="1"/>
  <c r="D620" i="1"/>
  <c r="A621" i="1"/>
  <c r="D621" i="1"/>
  <c r="A622" i="1"/>
  <c r="D622" i="1"/>
  <c r="A623" i="1"/>
  <c r="D623" i="1"/>
  <c r="A624" i="1"/>
  <c r="D624" i="1"/>
  <c r="A625" i="1"/>
  <c r="D625" i="1"/>
  <c r="A626" i="1"/>
  <c r="D626" i="1"/>
  <c r="A627" i="1"/>
  <c r="D627" i="1"/>
  <c r="A628" i="1"/>
  <c r="D628" i="1"/>
  <c r="A629" i="1"/>
  <c r="D629" i="1"/>
  <c r="A630" i="1"/>
  <c r="D630" i="1"/>
  <c r="A631" i="1"/>
  <c r="D631" i="1"/>
  <c r="A632" i="1"/>
  <c r="D632" i="1"/>
  <c r="A633" i="1"/>
  <c r="D633" i="1"/>
  <c r="A634" i="1"/>
  <c r="D634" i="1"/>
  <c r="A635" i="1"/>
  <c r="D635" i="1"/>
  <c r="A636" i="1"/>
  <c r="D636" i="1"/>
  <c r="A637" i="1"/>
  <c r="D637" i="1"/>
  <c r="A638" i="1"/>
  <c r="D638" i="1"/>
  <c r="A639" i="1"/>
  <c r="D639" i="1"/>
  <c r="A640" i="1"/>
  <c r="D640" i="1"/>
  <c r="A641" i="1"/>
  <c r="D641" i="1"/>
  <c r="A642" i="1"/>
  <c r="D642" i="1"/>
  <c r="A643" i="1"/>
  <c r="D643" i="1"/>
  <c r="A644" i="1"/>
  <c r="D644" i="1"/>
  <c r="A645" i="1"/>
  <c r="D645" i="1"/>
  <c r="A646" i="1"/>
  <c r="D646" i="1"/>
  <c r="A647" i="1"/>
  <c r="D647" i="1"/>
  <c r="A648" i="1"/>
  <c r="D648" i="1"/>
  <c r="A649" i="1"/>
  <c r="D649" i="1"/>
  <c r="A650" i="1"/>
  <c r="D650" i="1"/>
  <c r="A651" i="1"/>
  <c r="D651" i="1"/>
  <c r="A652" i="1"/>
  <c r="D652" i="1"/>
  <c r="A653" i="1"/>
  <c r="D653" i="1"/>
  <c r="A654" i="1"/>
  <c r="D654" i="1"/>
  <c r="A655" i="1"/>
  <c r="D655" i="1"/>
  <c r="A656" i="1"/>
  <c r="D656" i="1"/>
  <c r="A657" i="1"/>
  <c r="D657" i="1"/>
  <c r="A658" i="1"/>
  <c r="D658" i="1"/>
  <c r="A659" i="1"/>
  <c r="D659" i="1"/>
  <c r="A660" i="1"/>
  <c r="D660" i="1"/>
  <c r="A661" i="1"/>
  <c r="D661" i="1"/>
  <c r="A662" i="1"/>
  <c r="D662" i="1"/>
  <c r="A663" i="1"/>
  <c r="D663" i="1"/>
  <c r="A664" i="1"/>
  <c r="D664" i="1"/>
  <c r="A665" i="1"/>
  <c r="D665" i="1"/>
  <c r="A666" i="1"/>
  <c r="D666" i="1"/>
  <c r="A667" i="1"/>
  <c r="D667" i="1"/>
  <c r="A668" i="1"/>
  <c r="D668" i="1"/>
  <c r="A669" i="1"/>
  <c r="D669" i="1"/>
  <c r="A670" i="1"/>
  <c r="D670" i="1"/>
  <c r="A671" i="1"/>
  <c r="D671" i="1"/>
  <c r="A672" i="1"/>
  <c r="D672" i="1"/>
  <c r="A673" i="1"/>
  <c r="D673" i="1"/>
  <c r="A674" i="1"/>
  <c r="D674" i="1"/>
  <c r="A675" i="1"/>
  <c r="D675" i="1"/>
  <c r="A676" i="1"/>
  <c r="D676" i="1"/>
  <c r="A677" i="1"/>
  <c r="D677" i="1"/>
  <c r="A678" i="1"/>
  <c r="D678" i="1"/>
  <c r="A679" i="1"/>
  <c r="D679" i="1"/>
  <c r="A680" i="1"/>
  <c r="D680" i="1"/>
  <c r="A681" i="1"/>
  <c r="D681" i="1"/>
  <c r="A682" i="1"/>
  <c r="D682" i="1"/>
  <c r="A683" i="1"/>
  <c r="D683" i="1"/>
  <c r="A684" i="1"/>
  <c r="D684" i="1"/>
  <c r="A685" i="1"/>
  <c r="D685" i="1"/>
  <c r="A686" i="1"/>
  <c r="D686" i="1"/>
  <c r="A687" i="1"/>
  <c r="D687" i="1"/>
  <c r="A688" i="1"/>
  <c r="D688" i="1"/>
  <c r="A689" i="1"/>
  <c r="D689" i="1"/>
  <c r="A690" i="1"/>
  <c r="D690" i="1"/>
  <c r="A691" i="1"/>
  <c r="D691" i="1"/>
  <c r="A692" i="1"/>
  <c r="D692" i="1"/>
  <c r="A693" i="1"/>
  <c r="D693" i="1"/>
  <c r="A694" i="1"/>
  <c r="D694" i="1"/>
  <c r="A695" i="1"/>
  <c r="D695" i="1"/>
  <c r="A696" i="1"/>
  <c r="D696" i="1"/>
  <c r="A697" i="1"/>
  <c r="D697" i="1"/>
  <c r="A698" i="1"/>
  <c r="D698" i="1"/>
  <c r="A699" i="1"/>
  <c r="D699" i="1"/>
  <c r="A700" i="1"/>
  <c r="D700" i="1"/>
  <c r="A701" i="1"/>
  <c r="D701" i="1"/>
  <c r="A702" i="1"/>
  <c r="D702" i="1"/>
  <c r="A703" i="1"/>
  <c r="D703" i="1"/>
  <c r="A704" i="1"/>
  <c r="D704" i="1"/>
  <c r="A705" i="1"/>
  <c r="D705" i="1"/>
  <c r="A706" i="1"/>
  <c r="D706" i="1"/>
  <c r="A707" i="1"/>
  <c r="D707" i="1"/>
  <c r="A708" i="1"/>
  <c r="D708" i="1"/>
  <c r="A709" i="1"/>
  <c r="D709" i="1"/>
  <c r="A710" i="1"/>
  <c r="D710" i="1"/>
  <c r="A711" i="1"/>
  <c r="D711" i="1"/>
  <c r="A712" i="1"/>
  <c r="D712" i="1"/>
  <c r="A713" i="1"/>
  <c r="D713" i="1"/>
  <c r="A714" i="1"/>
  <c r="D714" i="1"/>
  <c r="A715" i="1"/>
  <c r="D715" i="1"/>
  <c r="A716" i="1"/>
  <c r="D716" i="1"/>
  <c r="A717" i="1"/>
  <c r="D717" i="1"/>
  <c r="A718" i="1"/>
  <c r="D718" i="1"/>
  <c r="A719" i="1"/>
  <c r="D719" i="1"/>
  <c r="A720" i="1"/>
  <c r="D720" i="1"/>
  <c r="A721" i="1"/>
  <c r="D721" i="1"/>
  <c r="A722" i="1"/>
  <c r="D722" i="1"/>
  <c r="A723" i="1"/>
  <c r="D723" i="1"/>
  <c r="A724" i="1"/>
  <c r="D724" i="1"/>
  <c r="A725" i="1"/>
  <c r="D725" i="1"/>
  <c r="A726" i="1"/>
  <c r="D726" i="1"/>
  <c r="A727" i="1"/>
  <c r="D727" i="1"/>
  <c r="A728" i="1"/>
  <c r="D728" i="1"/>
  <c r="A729" i="1"/>
  <c r="D729" i="1"/>
  <c r="A730" i="1"/>
  <c r="D730" i="1"/>
  <c r="A731" i="1"/>
  <c r="D731" i="1"/>
  <c r="A732" i="1"/>
  <c r="D732" i="1"/>
  <c r="A733" i="1"/>
  <c r="D733" i="1"/>
  <c r="A734" i="1"/>
  <c r="D734" i="1"/>
  <c r="A735" i="1"/>
  <c r="D735" i="1"/>
  <c r="A736" i="1"/>
  <c r="D736" i="1"/>
  <c r="A737" i="1"/>
  <c r="D737" i="1"/>
  <c r="A738" i="1"/>
  <c r="D738" i="1"/>
  <c r="A739" i="1"/>
  <c r="D739" i="1"/>
  <c r="A740" i="1"/>
  <c r="D740" i="1"/>
  <c r="A741" i="1"/>
  <c r="D741" i="1"/>
  <c r="A742" i="1"/>
  <c r="D742" i="1"/>
  <c r="A743" i="1"/>
  <c r="D743" i="1"/>
  <c r="A744" i="1"/>
  <c r="D744" i="1"/>
  <c r="A745" i="1"/>
  <c r="D745" i="1"/>
  <c r="A746" i="1"/>
  <c r="D746" i="1"/>
  <c r="A747" i="1"/>
  <c r="D747" i="1"/>
  <c r="A748" i="1"/>
  <c r="D748" i="1"/>
  <c r="A749" i="1"/>
  <c r="D749" i="1"/>
  <c r="A750" i="1"/>
  <c r="D750" i="1"/>
  <c r="A751" i="1"/>
  <c r="D751" i="1"/>
  <c r="A752" i="1"/>
  <c r="D752" i="1"/>
  <c r="A753" i="1"/>
  <c r="D753" i="1"/>
  <c r="A754" i="1"/>
  <c r="D754" i="1"/>
  <c r="A755" i="1"/>
  <c r="D755" i="1"/>
  <c r="A756" i="1"/>
  <c r="D756" i="1"/>
  <c r="A757" i="1"/>
  <c r="D757" i="1"/>
  <c r="A758" i="1"/>
  <c r="D758" i="1"/>
  <c r="A759" i="1"/>
  <c r="D759" i="1"/>
  <c r="A760" i="1"/>
  <c r="D760" i="1"/>
  <c r="A761" i="1"/>
  <c r="D761" i="1"/>
  <c r="A762" i="1"/>
  <c r="D762" i="1"/>
  <c r="A763" i="1"/>
  <c r="D763" i="1"/>
  <c r="A764" i="1"/>
  <c r="D764" i="1"/>
  <c r="A765" i="1"/>
  <c r="D765" i="1"/>
  <c r="A766" i="1"/>
  <c r="D766" i="1"/>
  <c r="A767" i="1"/>
  <c r="D767" i="1"/>
  <c r="A768" i="1"/>
  <c r="D768" i="1"/>
  <c r="A769" i="1"/>
  <c r="D769" i="1"/>
  <c r="A770" i="1"/>
  <c r="D770" i="1"/>
  <c r="A771" i="1"/>
  <c r="D771" i="1"/>
  <c r="A772" i="1"/>
  <c r="D772" i="1"/>
  <c r="A773" i="1"/>
  <c r="D773" i="1"/>
  <c r="A774" i="1"/>
  <c r="D774" i="1"/>
  <c r="A775" i="1"/>
  <c r="D775" i="1"/>
  <c r="A776" i="1"/>
  <c r="D776" i="1"/>
  <c r="A777" i="1"/>
  <c r="D777" i="1"/>
  <c r="A778" i="1"/>
  <c r="D778" i="1"/>
  <c r="A779" i="1"/>
  <c r="D779" i="1"/>
  <c r="A780" i="1"/>
  <c r="D780" i="1"/>
  <c r="A781" i="1"/>
  <c r="D781" i="1"/>
  <c r="A782" i="1"/>
  <c r="D782" i="1"/>
  <c r="A783" i="1"/>
  <c r="D783" i="1"/>
  <c r="A784" i="1"/>
  <c r="D784" i="1"/>
  <c r="A785" i="1"/>
  <c r="D785" i="1"/>
  <c r="A786" i="1"/>
  <c r="D786" i="1"/>
  <c r="A787" i="1"/>
  <c r="D787" i="1"/>
  <c r="A788" i="1"/>
  <c r="D788" i="1"/>
  <c r="A789" i="1"/>
  <c r="D789" i="1"/>
  <c r="A790" i="1"/>
  <c r="D790" i="1"/>
  <c r="A791" i="1"/>
  <c r="D791" i="1"/>
  <c r="A792" i="1"/>
  <c r="D792" i="1"/>
  <c r="A793" i="1"/>
  <c r="D793" i="1"/>
  <c r="A794" i="1"/>
  <c r="D794" i="1"/>
  <c r="A795" i="1"/>
  <c r="D795" i="1"/>
  <c r="A796" i="1"/>
  <c r="D796" i="1"/>
  <c r="A797" i="1"/>
  <c r="D797" i="1"/>
  <c r="A798" i="1"/>
  <c r="D798" i="1"/>
  <c r="A799" i="1"/>
  <c r="D799" i="1"/>
  <c r="A800" i="1"/>
  <c r="D800" i="1"/>
  <c r="A801" i="1"/>
  <c r="D801" i="1"/>
  <c r="A802" i="1"/>
  <c r="D802" i="1"/>
  <c r="A803" i="1"/>
  <c r="D803" i="1"/>
  <c r="A804" i="1"/>
  <c r="D804" i="1"/>
  <c r="A805" i="1"/>
  <c r="D805" i="1"/>
  <c r="A806" i="1"/>
  <c r="D806" i="1"/>
  <c r="A807" i="1"/>
  <c r="D807" i="1"/>
  <c r="A808" i="1"/>
  <c r="D808" i="1"/>
  <c r="A809" i="1"/>
  <c r="D809" i="1"/>
  <c r="A810" i="1"/>
  <c r="D810" i="1"/>
  <c r="A811" i="1"/>
  <c r="D811" i="1"/>
  <c r="A812" i="1"/>
  <c r="D812" i="1"/>
  <c r="A813" i="1"/>
  <c r="D813" i="1"/>
  <c r="A814" i="1"/>
  <c r="D814" i="1"/>
  <c r="A815" i="1"/>
  <c r="D815" i="1"/>
  <c r="A816" i="1"/>
  <c r="D816" i="1"/>
  <c r="A817" i="1"/>
  <c r="D817" i="1"/>
  <c r="A818" i="1"/>
  <c r="D818" i="1"/>
  <c r="A819" i="1"/>
  <c r="D819" i="1"/>
  <c r="A820" i="1"/>
  <c r="D820" i="1"/>
  <c r="A821" i="1"/>
  <c r="D821" i="1"/>
  <c r="A822" i="1"/>
  <c r="D822" i="1"/>
  <c r="A823" i="1"/>
  <c r="D823" i="1"/>
  <c r="A824" i="1"/>
  <c r="D824" i="1"/>
  <c r="A825" i="1"/>
  <c r="D825" i="1"/>
  <c r="A826" i="1"/>
  <c r="D826" i="1"/>
  <c r="A827" i="1"/>
  <c r="D827" i="1"/>
  <c r="A828" i="1"/>
  <c r="D828" i="1"/>
  <c r="A829" i="1"/>
  <c r="D829" i="1"/>
  <c r="A830" i="1"/>
  <c r="D830" i="1"/>
  <c r="A831" i="1"/>
  <c r="D831" i="1"/>
  <c r="A832" i="1"/>
  <c r="D832" i="1"/>
  <c r="A833" i="1"/>
  <c r="D833" i="1"/>
  <c r="A834" i="1"/>
  <c r="D834" i="1"/>
  <c r="A835" i="1"/>
  <c r="D835" i="1"/>
  <c r="A836" i="1"/>
  <c r="D836" i="1"/>
  <c r="A837" i="1"/>
  <c r="D837" i="1"/>
  <c r="A838" i="1"/>
  <c r="D838" i="1"/>
  <c r="A839" i="1"/>
  <c r="D839" i="1"/>
  <c r="A840" i="1"/>
  <c r="D840" i="1"/>
  <c r="A841" i="1"/>
  <c r="D841" i="1"/>
  <c r="A842" i="1"/>
  <c r="D842" i="1"/>
  <c r="A843" i="1"/>
  <c r="D843" i="1"/>
  <c r="A844" i="1"/>
  <c r="D844" i="1"/>
  <c r="A845" i="1"/>
  <c r="D845" i="1"/>
  <c r="A846" i="1"/>
  <c r="D846" i="1"/>
  <c r="A847" i="1"/>
  <c r="D847" i="1"/>
  <c r="A848" i="1"/>
  <c r="D848" i="1"/>
  <c r="A849" i="1"/>
  <c r="D849" i="1"/>
  <c r="A850" i="1"/>
  <c r="D850" i="1"/>
  <c r="A851" i="1"/>
  <c r="D851" i="1"/>
  <c r="A852" i="1"/>
  <c r="D852" i="1"/>
  <c r="A853" i="1"/>
  <c r="D853" i="1"/>
  <c r="A854" i="1"/>
  <c r="D854" i="1"/>
  <c r="A855" i="1"/>
  <c r="D855" i="1"/>
  <c r="A856" i="1"/>
  <c r="D856" i="1"/>
  <c r="A857" i="1"/>
  <c r="D857" i="1"/>
  <c r="A858" i="1"/>
  <c r="D858" i="1"/>
  <c r="A859" i="1"/>
  <c r="D859" i="1"/>
  <c r="A860" i="1"/>
  <c r="D860" i="1"/>
  <c r="A861" i="1"/>
  <c r="D861" i="1"/>
  <c r="A862" i="1"/>
  <c r="D862" i="1"/>
  <c r="A863" i="1"/>
  <c r="D863" i="1"/>
  <c r="A864" i="1"/>
  <c r="D864" i="1"/>
  <c r="A865" i="1"/>
  <c r="D865" i="1"/>
  <c r="A866" i="1"/>
  <c r="D866" i="1"/>
  <c r="A867" i="1"/>
  <c r="D867" i="1"/>
  <c r="A868" i="1"/>
  <c r="D868" i="1"/>
  <c r="A869" i="1"/>
  <c r="D869" i="1"/>
  <c r="A870" i="1"/>
  <c r="D870" i="1"/>
  <c r="A871" i="1"/>
  <c r="D871" i="1"/>
  <c r="A872" i="1"/>
  <c r="D872" i="1"/>
  <c r="A873" i="1"/>
  <c r="D873" i="1"/>
  <c r="A874" i="1"/>
  <c r="D874" i="1"/>
  <c r="A875" i="1"/>
  <c r="D875" i="1"/>
  <c r="A876" i="1"/>
  <c r="D876" i="1"/>
  <c r="A877" i="1"/>
  <c r="D877" i="1"/>
  <c r="A878" i="1"/>
  <c r="D878" i="1"/>
  <c r="A879" i="1"/>
  <c r="D879" i="1"/>
  <c r="A880" i="1"/>
  <c r="D880" i="1"/>
  <c r="A881" i="1"/>
  <c r="D881" i="1"/>
  <c r="A882" i="1"/>
  <c r="D882" i="1"/>
  <c r="A883" i="1"/>
  <c r="D883" i="1"/>
  <c r="A884" i="1"/>
  <c r="D884" i="1"/>
  <c r="A885" i="1"/>
  <c r="D885" i="1"/>
  <c r="A886" i="1"/>
  <c r="D886" i="1"/>
  <c r="A887" i="1"/>
  <c r="D887" i="1"/>
  <c r="A888" i="1"/>
  <c r="D888" i="1"/>
  <c r="A889" i="1"/>
  <c r="D889" i="1"/>
  <c r="A890" i="1"/>
  <c r="D890" i="1"/>
  <c r="A891" i="1"/>
  <c r="D891" i="1"/>
  <c r="A892" i="1"/>
  <c r="D892" i="1"/>
  <c r="A893" i="1"/>
  <c r="D893" i="1"/>
  <c r="A894" i="1"/>
  <c r="D894" i="1"/>
  <c r="A895" i="1"/>
  <c r="D895" i="1"/>
  <c r="A896" i="1"/>
  <c r="D896" i="1"/>
  <c r="A897" i="1"/>
  <c r="D897" i="1"/>
  <c r="A898" i="1"/>
  <c r="D898" i="1"/>
  <c r="A899" i="1"/>
  <c r="D899" i="1"/>
  <c r="A900" i="1"/>
  <c r="D900" i="1"/>
  <c r="A901" i="1"/>
  <c r="D901" i="1"/>
  <c r="A902" i="1"/>
  <c r="D902" i="1"/>
  <c r="A903" i="1"/>
  <c r="D903" i="1"/>
  <c r="A904" i="1"/>
  <c r="D904" i="1"/>
  <c r="A905" i="1"/>
  <c r="D905" i="1"/>
  <c r="A906" i="1"/>
  <c r="D906" i="1"/>
  <c r="A907" i="1"/>
  <c r="D907" i="1"/>
  <c r="A908" i="1"/>
  <c r="D908" i="1"/>
  <c r="A909" i="1"/>
  <c r="D909" i="1"/>
  <c r="A910" i="1"/>
  <c r="D910" i="1"/>
  <c r="A911" i="1"/>
  <c r="D911" i="1"/>
  <c r="A912" i="1"/>
  <c r="A913" i="1"/>
  <c r="D913" i="1"/>
  <c r="A914" i="1"/>
  <c r="D914" i="1"/>
  <c r="A915" i="1"/>
  <c r="D915" i="1"/>
  <c r="A916" i="1"/>
  <c r="D916" i="1"/>
  <c r="A917" i="1"/>
  <c r="D917" i="1"/>
  <c r="A918" i="1"/>
  <c r="D918" i="1"/>
  <c r="A919" i="1"/>
  <c r="D919" i="1"/>
  <c r="A920" i="1"/>
  <c r="D920" i="1"/>
  <c r="A921" i="1"/>
  <c r="D921" i="1"/>
  <c r="A922" i="1"/>
  <c r="D922" i="1"/>
  <c r="A923" i="1"/>
  <c r="A924" i="1"/>
  <c r="D924" i="1"/>
  <c r="A925" i="1"/>
  <c r="D925" i="1"/>
  <c r="A926" i="1"/>
  <c r="D926" i="1"/>
  <c r="A927" i="1"/>
  <c r="D927" i="1"/>
  <c r="A928" i="1"/>
  <c r="D928" i="1"/>
  <c r="A929" i="1"/>
  <c r="D929" i="1"/>
  <c r="A930" i="1"/>
  <c r="D930" i="1"/>
  <c r="A931" i="1"/>
  <c r="A932" i="1"/>
  <c r="D932" i="1"/>
  <c r="A933" i="1"/>
  <c r="D933" i="1"/>
  <c r="A934" i="1"/>
  <c r="D934" i="1"/>
  <c r="A935" i="1"/>
  <c r="D935" i="1"/>
  <c r="A936" i="1"/>
  <c r="D936" i="1"/>
  <c r="A937" i="1"/>
  <c r="D937" i="1"/>
  <c r="A938" i="1"/>
  <c r="D938" i="1"/>
  <c r="A939" i="1"/>
  <c r="D939" i="1"/>
  <c r="A940" i="1"/>
  <c r="D940" i="1"/>
  <c r="A941" i="1"/>
  <c r="D941" i="1"/>
  <c r="A942" i="1"/>
  <c r="D942" i="1"/>
  <c r="A943" i="1"/>
  <c r="D943" i="1"/>
  <c r="A944" i="1"/>
  <c r="D944" i="1"/>
  <c r="A945" i="1"/>
  <c r="D945" i="1"/>
  <c r="A946" i="1"/>
  <c r="D946" i="1"/>
  <c r="A947" i="1"/>
  <c r="D947" i="1"/>
  <c r="A948" i="1"/>
  <c r="D948" i="1"/>
  <c r="A949" i="1"/>
  <c r="D949" i="1"/>
  <c r="A950" i="1"/>
  <c r="D950" i="1"/>
  <c r="A951" i="1"/>
  <c r="D951" i="1"/>
  <c r="A952" i="1"/>
  <c r="D952" i="1"/>
  <c r="A953" i="1"/>
  <c r="D953" i="1"/>
  <c r="A954" i="1"/>
  <c r="D954" i="1"/>
  <c r="A955" i="1"/>
  <c r="D955" i="1"/>
  <c r="A956" i="1"/>
  <c r="D956" i="1"/>
  <c r="A957" i="1"/>
  <c r="D957" i="1"/>
  <c r="A958" i="1"/>
  <c r="D958" i="1"/>
  <c r="A959" i="1"/>
  <c r="D959" i="1"/>
  <c r="A960" i="1"/>
  <c r="D960" i="1"/>
  <c r="A961" i="1"/>
  <c r="D961" i="1"/>
  <c r="A962" i="1"/>
  <c r="D962" i="1"/>
  <c r="A963" i="1"/>
  <c r="D963" i="1"/>
  <c r="A964" i="1"/>
  <c r="A965" i="1"/>
  <c r="D965" i="1"/>
  <c r="A966" i="1"/>
  <c r="D966" i="1"/>
  <c r="A967" i="1"/>
  <c r="D967" i="1"/>
  <c r="A968" i="1"/>
  <c r="D968" i="1"/>
  <c r="A969" i="1"/>
  <c r="D969" i="1"/>
  <c r="A970" i="1"/>
  <c r="D970" i="1"/>
  <c r="A971" i="1"/>
  <c r="D971" i="1"/>
  <c r="A972" i="1"/>
  <c r="D972" i="1"/>
  <c r="A973" i="1"/>
  <c r="D973" i="1"/>
  <c r="A974" i="1"/>
  <c r="D974" i="1"/>
  <c r="A975" i="1"/>
  <c r="D975" i="1"/>
  <c r="A976" i="1"/>
  <c r="D976" i="1"/>
  <c r="A977" i="1"/>
  <c r="D977" i="1"/>
  <c r="A978" i="1"/>
  <c r="D978" i="1"/>
  <c r="A979" i="1"/>
  <c r="D979" i="1"/>
  <c r="A980" i="1"/>
  <c r="D980" i="1"/>
  <c r="A981" i="1"/>
  <c r="D981" i="1"/>
  <c r="A982" i="1"/>
  <c r="D982" i="1"/>
  <c r="A983" i="1"/>
  <c r="D983" i="1"/>
  <c r="A984" i="1"/>
  <c r="D984" i="1"/>
  <c r="A985" i="1"/>
  <c r="D985" i="1"/>
  <c r="A986" i="1"/>
  <c r="D986" i="1"/>
  <c r="A987" i="1"/>
  <c r="A988" i="1"/>
  <c r="D988" i="1"/>
  <c r="A989" i="1"/>
  <c r="D989" i="1"/>
  <c r="A990" i="1"/>
  <c r="D990" i="1"/>
  <c r="A991" i="1"/>
  <c r="D991" i="1"/>
  <c r="A992" i="1"/>
  <c r="D992" i="1"/>
  <c r="A993" i="1"/>
  <c r="D993" i="1"/>
  <c r="A994" i="1"/>
  <c r="D994" i="1"/>
  <c r="A995" i="1"/>
  <c r="D995" i="1"/>
  <c r="A996" i="1"/>
  <c r="D996" i="1"/>
  <c r="A997" i="1"/>
  <c r="D997" i="1"/>
  <c r="A998" i="1"/>
  <c r="D998" i="1"/>
  <c r="A999" i="1"/>
  <c r="D999" i="1"/>
  <c r="A1000" i="1"/>
  <c r="D1000" i="1"/>
  <c r="A1001" i="1"/>
  <c r="D1001" i="1"/>
  <c r="A1002" i="1"/>
  <c r="D1002" i="1"/>
  <c r="A1003" i="1"/>
  <c r="D1003" i="1"/>
  <c r="A1004" i="1"/>
  <c r="D1004" i="1"/>
  <c r="A1005" i="1"/>
  <c r="D1005" i="1"/>
  <c r="A1006" i="1"/>
  <c r="D1006" i="1"/>
  <c r="A1007" i="1"/>
  <c r="D1007" i="1"/>
  <c r="A1008" i="1"/>
  <c r="D1008" i="1"/>
  <c r="A1009" i="1"/>
  <c r="D1009" i="1"/>
  <c r="A1010" i="1"/>
  <c r="D1010" i="1"/>
  <c r="A1011" i="1"/>
  <c r="D1011" i="1"/>
  <c r="A1012" i="1"/>
  <c r="D1012" i="1"/>
  <c r="A1013" i="1"/>
  <c r="D1013" i="1"/>
  <c r="A1014" i="1"/>
  <c r="D1014" i="1"/>
  <c r="A1015" i="1"/>
  <c r="D1015" i="1"/>
  <c r="A1016" i="1"/>
  <c r="D1016" i="1"/>
  <c r="A1017" i="1"/>
  <c r="D1017" i="1"/>
  <c r="A1018" i="1"/>
  <c r="D1018" i="1"/>
  <c r="A1019" i="1"/>
  <c r="D1019" i="1"/>
  <c r="A1020" i="1"/>
  <c r="D1020" i="1"/>
  <c r="A1021" i="1"/>
  <c r="D1021" i="1"/>
  <c r="A1022" i="1"/>
  <c r="D1022" i="1"/>
  <c r="A1023" i="1"/>
  <c r="D1023" i="1"/>
  <c r="A1024" i="1"/>
  <c r="D1024" i="1"/>
  <c r="A1025" i="1"/>
  <c r="D1025" i="1"/>
  <c r="A1026" i="1"/>
  <c r="D1026" i="1"/>
  <c r="A1027" i="1"/>
  <c r="D1027" i="1"/>
  <c r="A1028" i="1"/>
  <c r="D1028" i="1"/>
  <c r="A1029" i="1"/>
  <c r="D1029" i="1"/>
  <c r="A1030" i="1"/>
  <c r="D1030" i="1"/>
  <c r="A1031" i="1"/>
  <c r="D1031" i="1"/>
  <c r="A1032" i="1"/>
  <c r="D1032" i="1"/>
  <c r="A1033" i="1"/>
  <c r="D1033" i="1"/>
  <c r="A1034" i="1"/>
  <c r="D1034" i="1"/>
  <c r="A1035" i="1"/>
  <c r="D1035" i="1"/>
  <c r="A1036" i="1"/>
  <c r="D1036" i="1"/>
  <c r="A1037" i="1"/>
  <c r="D1037" i="1"/>
  <c r="A1038" i="1"/>
  <c r="D1038" i="1"/>
  <c r="A1039" i="1"/>
  <c r="D1039" i="1"/>
  <c r="A1040" i="1"/>
  <c r="D1040" i="1"/>
  <c r="A1041" i="1"/>
  <c r="D1041" i="1"/>
  <c r="A1042" i="1"/>
  <c r="D1042" i="1"/>
  <c r="A1043" i="1"/>
  <c r="D1043" i="1"/>
  <c r="A1044" i="1"/>
  <c r="D1044" i="1"/>
  <c r="A1045" i="1"/>
  <c r="D1045" i="1"/>
  <c r="A1046" i="1"/>
  <c r="D1046" i="1"/>
  <c r="A1047" i="1"/>
  <c r="D1047" i="1"/>
  <c r="A1048" i="1"/>
  <c r="D1048" i="1"/>
  <c r="A1049" i="1"/>
  <c r="D1049" i="1"/>
  <c r="A1050" i="1"/>
  <c r="D1050" i="1"/>
  <c r="A1051" i="1"/>
  <c r="D1051" i="1"/>
  <c r="A1052" i="1"/>
  <c r="D1052" i="1"/>
  <c r="A1053" i="1"/>
  <c r="D1053" i="1"/>
  <c r="A1054" i="1"/>
  <c r="D1054" i="1"/>
  <c r="A1055" i="1"/>
  <c r="D1055" i="1"/>
  <c r="A1056" i="1"/>
  <c r="D1056" i="1"/>
  <c r="A1057" i="1"/>
  <c r="D1057" i="1"/>
  <c r="A1058" i="1"/>
  <c r="D1058" i="1"/>
  <c r="A1059" i="1"/>
  <c r="D1059" i="1"/>
  <c r="A1060" i="1"/>
  <c r="D1060" i="1"/>
  <c r="A1061" i="1"/>
  <c r="D1061" i="1"/>
  <c r="A1062" i="1"/>
  <c r="D1062" i="1"/>
  <c r="A1063" i="1"/>
  <c r="D1063" i="1"/>
  <c r="A1064" i="1"/>
  <c r="D1064" i="1"/>
  <c r="A1065" i="1"/>
  <c r="D1065" i="1"/>
  <c r="A1066" i="1"/>
  <c r="D1066" i="1"/>
  <c r="A1067" i="1"/>
  <c r="D1067" i="1"/>
  <c r="A1068" i="1"/>
  <c r="D1068" i="1"/>
  <c r="A1069" i="1"/>
  <c r="D1069" i="1"/>
  <c r="A1070" i="1"/>
  <c r="D1070" i="1"/>
  <c r="A1071" i="1"/>
  <c r="D1071" i="1"/>
  <c r="A1072" i="1"/>
  <c r="D1072" i="1"/>
  <c r="A1073" i="1"/>
  <c r="D1073" i="1"/>
  <c r="A1074" i="1"/>
  <c r="D1074" i="1"/>
  <c r="A1075" i="1"/>
  <c r="D1075" i="1"/>
  <c r="A1076" i="1"/>
  <c r="D1076" i="1"/>
  <c r="A1077" i="1"/>
  <c r="D1077" i="1"/>
  <c r="A1078" i="1"/>
  <c r="D1078" i="1"/>
  <c r="A1079" i="1"/>
  <c r="D1079" i="1"/>
  <c r="A1080" i="1"/>
  <c r="D1080" i="1"/>
  <c r="A1081" i="1"/>
  <c r="D1081" i="1"/>
  <c r="A1082" i="1"/>
  <c r="D1082" i="1"/>
  <c r="A1083" i="1"/>
  <c r="D1083" i="1"/>
  <c r="A1084" i="1"/>
  <c r="D1084" i="1"/>
  <c r="A1085" i="1"/>
  <c r="D1085" i="1"/>
  <c r="A1086" i="1"/>
  <c r="D1086" i="1"/>
  <c r="A1087" i="1"/>
  <c r="D1087" i="1"/>
  <c r="A1088" i="1"/>
  <c r="D1088" i="1"/>
  <c r="A1089" i="1"/>
  <c r="D1089" i="1"/>
  <c r="A1090" i="1"/>
  <c r="D1090" i="1"/>
  <c r="A1091" i="1"/>
  <c r="D1091" i="1"/>
  <c r="A1092" i="1"/>
  <c r="D1092" i="1"/>
  <c r="A1093" i="1"/>
  <c r="D1093" i="1"/>
  <c r="A1094" i="1"/>
  <c r="D1094" i="1"/>
  <c r="A1095" i="1"/>
  <c r="D1095" i="1"/>
  <c r="A1096" i="1"/>
  <c r="D1096" i="1"/>
  <c r="A1097" i="1"/>
  <c r="D1097" i="1"/>
  <c r="A1098" i="1"/>
  <c r="D1098" i="1"/>
  <c r="A1099" i="1"/>
  <c r="D1099" i="1"/>
  <c r="A1100" i="1"/>
  <c r="D1100" i="1"/>
  <c r="A1101" i="1"/>
  <c r="D1101" i="1"/>
  <c r="A1102" i="1"/>
  <c r="D1102" i="1"/>
  <c r="A1103" i="1"/>
  <c r="D1103" i="1"/>
  <c r="A1104" i="1"/>
  <c r="D1104" i="1"/>
  <c r="A1105" i="1"/>
  <c r="D1105" i="1"/>
  <c r="A1106" i="1"/>
  <c r="D1106" i="1"/>
  <c r="A1107" i="1"/>
  <c r="D1107" i="1"/>
  <c r="A1108" i="1"/>
  <c r="D1108" i="1"/>
  <c r="A1109" i="1"/>
  <c r="D1109" i="1"/>
  <c r="A1110" i="1"/>
  <c r="D1110" i="1"/>
  <c r="A1111" i="1"/>
  <c r="D1111" i="1"/>
  <c r="A1112" i="1"/>
  <c r="D1112" i="1"/>
  <c r="A1113" i="1"/>
  <c r="D1113" i="1"/>
  <c r="A1114" i="1"/>
  <c r="D1114" i="1"/>
  <c r="A1115" i="1"/>
  <c r="D1115" i="1"/>
  <c r="A1116" i="1"/>
  <c r="D1116" i="1"/>
  <c r="A1117" i="1"/>
  <c r="D1117" i="1"/>
  <c r="A1118" i="1"/>
  <c r="D1118" i="1"/>
  <c r="A1119" i="1"/>
  <c r="D1119" i="1"/>
  <c r="A1120" i="1"/>
  <c r="D1120" i="1"/>
  <c r="A1121" i="1"/>
  <c r="D1121" i="1"/>
  <c r="A1122" i="1"/>
  <c r="D1122" i="1"/>
  <c r="A1123" i="1"/>
  <c r="D1123" i="1"/>
  <c r="A1124" i="1"/>
  <c r="D1124" i="1"/>
  <c r="A1125" i="1"/>
  <c r="D1125" i="1"/>
  <c r="A1126" i="1"/>
  <c r="D1126" i="1"/>
  <c r="A1127" i="1"/>
  <c r="D1127" i="1"/>
  <c r="A1128" i="1"/>
  <c r="D1128" i="1"/>
  <c r="A1129" i="1"/>
  <c r="D1129" i="1"/>
  <c r="A1130" i="1"/>
  <c r="D1130" i="1"/>
  <c r="A1131" i="1"/>
  <c r="D1131" i="1"/>
  <c r="A1132" i="1"/>
  <c r="D1132" i="1"/>
  <c r="A1133" i="1"/>
  <c r="D1133" i="1"/>
  <c r="A1134" i="1"/>
  <c r="D1134" i="1"/>
  <c r="A1135" i="1"/>
  <c r="D1135" i="1"/>
  <c r="A1136" i="1"/>
  <c r="D1136" i="1"/>
  <c r="A1137" i="1"/>
  <c r="D1137" i="1"/>
  <c r="A1138" i="1"/>
  <c r="D1138" i="1"/>
  <c r="A1139" i="1"/>
  <c r="D1139" i="1"/>
  <c r="A1140" i="1"/>
  <c r="D1140" i="1"/>
  <c r="A1141" i="1"/>
  <c r="D1141" i="1"/>
  <c r="A1142" i="1"/>
  <c r="D1142" i="1"/>
  <c r="A1143" i="1"/>
  <c r="D1143" i="1"/>
  <c r="A1144" i="1"/>
  <c r="D1144" i="1"/>
  <c r="A1145" i="1"/>
  <c r="D1145" i="1"/>
  <c r="A1146" i="1"/>
  <c r="D1146" i="1"/>
  <c r="A1147" i="1"/>
  <c r="D1147" i="1"/>
  <c r="A1148" i="1"/>
  <c r="D1148" i="1"/>
  <c r="A1149" i="1"/>
  <c r="D1149" i="1"/>
  <c r="A1150" i="1"/>
  <c r="D1150" i="1"/>
  <c r="A1151" i="1"/>
  <c r="D1151" i="1"/>
  <c r="A1152" i="1"/>
  <c r="D1152" i="1"/>
  <c r="A1153" i="1"/>
  <c r="D1153" i="1"/>
  <c r="A1154" i="1"/>
  <c r="D1154" i="1"/>
  <c r="A1155" i="1"/>
  <c r="D1155" i="1"/>
  <c r="A1156" i="1"/>
  <c r="D1156" i="1"/>
  <c r="A1157" i="1"/>
  <c r="D1157" i="1"/>
  <c r="A1158" i="1"/>
  <c r="D1158" i="1"/>
  <c r="A1159" i="1"/>
  <c r="D1159" i="1"/>
  <c r="A1160" i="1"/>
  <c r="D1160" i="1"/>
  <c r="A1161" i="1"/>
  <c r="D1161" i="1"/>
  <c r="A1162" i="1"/>
  <c r="D1162" i="1"/>
  <c r="A1163" i="1"/>
  <c r="D1163" i="1"/>
  <c r="A1164" i="1"/>
  <c r="D1164" i="1"/>
  <c r="A1165" i="1"/>
  <c r="D1165" i="1"/>
  <c r="A1166" i="1"/>
  <c r="D1166" i="1"/>
  <c r="A1167" i="1"/>
  <c r="D1167" i="1"/>
  <c r="A1168" i="1"/>
  <c r="D1168" i="1"/>
  <c r="A1169" i="1"/>
  <c r="D1169" i="1"/>
  <c r="A1170" i="1"/>
  <c r="D1170" i="1"/>
  <c r="A1171" i="1"/>
  <c r="D1171" i="1"/>
  <c r="A1172" i="1"/>
  <c r="D1172" i="1"/>
  <c r="A1173" i="1"/>
  <c r="D1173" i="1"/>
  <c r="A1174" i="1"/>
  <c r="D1174" i="1"/>
  <c r="A1175" i="1"/>
  <c r="D1175" i="1"/>
  <c r="A1176" i="1"/>
  <c r="D1176" i="1"/>
  <c r="A1177" i="1"/>
  <c r="D1177" i="1"/>
  <c r="A1178" i="1"/>
  <c r="D1178" i="1"/>
  <c r="A1179" i="1"/>
  <c r="D1179" i="1"/>
  <c r="A1180" i="1"/>
  <c r="D1180" i="1"/>
  <c r="A1181" i="1"/>
  <c r="D1181" i="1"/>
  <c r="A1182" i="1"/>
  <c r="D1182" i="1"/>
  <c r="A1183" i="1"/>
  <c r="D1183" i="1"/>
  <c r="A1184" i="1"/>
  <c r="D1184" i="1"/>
  <c r="A1185" i="1"/>
  <c r="D1185" i="1"/>
  <c r="A1186" i="1"/>
  <c r="D1186" i="1"/>
  <c r="A1187" i="1"/>
  <c r="D1187" i="1"/>
  <c r="A1188" i="1"/>
  <c r="D1188" i="1"/>
  <c r="A1189" i="1"/>
  <c r="D1189" i="1"/>
  <c r="A1190" i="1"/>
  <c r="D1190" i="1"/>
  <c r="A1191" i="1"/>
  <c r="D1191" i="1"/>
  <c r="A1192" i="1"/>
  <c r="D1192" i="1"/>
  <c r="A1193" i="1"/>
  <c r="D1193" i="1"/>
  <c r="A1194" i="1"/>
  <c r="D1194" i="1"/>
  <c r="A1195" i="1"/>
  <c r="D1195" i="1"/>
  <c r="A1196" i="1"/>
  <c r="D1196" i="1"/>
  <c r="A1197" i="1"/>
  <c r="D1197" i="1"/>
  <c r="A1198" i="1"/>
  <c r="D1198" i="1"/>
  <c r="A1199" i="1"/>
  <c r="D1199" i="1"/>
  <c r="A1200" i="1"/>
  <c r="D1200" i="1"/>
  <c r="A1201" i="1"/>
  <c r="D1201" i="1"/>
  <c r="A1202" i="1"/>
  <c r="D1202" i="1"/>
  <c r="A1203" i="1"/>
  <c r="D1203" i="1"/>
  <c r="A1204" i="1"/>
  <c r="D1204" i="1"/>
  <c r="A1205" i="1"/>
  <c r="D1205" i="1"/>
  <c r="A1206" i="1"/>
  <c r="D1206" i="1"/>
  <c r="A1207" i="1"/>
  <c r="D1207" i="1"/>
  <c r="A1208" i="1"/>
  <c r="D1208" i="1"/>
  <c r="A1209" i="1"/>
  <c r="D1209" i="1"/>
  <c r="A1210" i="1"/>
  <c r="D1210" i="1"/>
  <c r="A1211" i="1"/>
  <c r="D1211" i="1"/>
  <c r="A1212" i="1"/>
  <c r="D1212" i="1"/>
  <c r="A1213" i="1"/>
  <c r="D1213" i="1"/>
  <c r="A1214" i="1"/>
  <c r="D1214" i="1"/>
  <c r="A1215" i="1"/>
  <c r="D1215" i="1"/>
  <c r="A1216" i="1"/>
  <c r="D1216" i="1"/>
  <c r="A1217" i="1"/>
  <c r="D1217" i="1"/>
  <c r="A1218" i="1"/>
  <c r="D1218" i="1"/>
  <c r="A1219" i="1"/>
  <c r="D1219" i="1"/>
  <c r="A1220" i="1"/>
  <c r="D1220" i="1"/>
  <c r="A1221" i="1"/>
  <c r="D1221" i="1"/>
  <c r="A1222" i="1"/>
  <c r="D1222" i="1"/>
  <c r="A1223" i="1"/>
  <c r="D1223" i="1"/>
  <c r="A1224" i="1"/>
  <c r="D1224" i="1"/>
  <c r="A1225" i="1"/>
  <c r="D1225" i="1"/>
  <c r="A1226" i="1"/>
  <c r="D1226" i="1"/>
  <c r="A1227" i="1"/>
  <c r="D1227" i="1"/>
  <c r="A1228" i="1"/>
  <c r="D1228" i="1"/>
  <c r="A1229" i="1"/>
  <c r="D1229" i="1"/>
  <c r="A1230" i="1"/>
  <c r="D1230" i="1"/>
  <c r="A1231" i="1"/>
  <c r="D1231" i="1"/>
  <c r="A1232" i="1"/>
  <c r="D1232" i="1"/>
  <c r="A1233" i="1"/>
  <c r="D1233" i="1"/>
  <c r="A1234" i="1"/>
  <c r="D1234" i="1"/>
  <c r="A1235" i="1"/>
  <c r="D1235" i="1"/>
  <c r="A1236" i="1"/>
  <c r="D1236" i="1"/>
  <c r="A1237" i="1"/>
  <c r="D1237" i="1"/>
  <c r="A1238" i="1"/>
  <c r="D1238" i="1"/>
  <c r="A1239" i="1"/>
  <c r="D1239" i="1"/>
  <c r="A1240" i="1"/>
  <c r="D1240" i="1"/>
  <c r="A1241" i="1"/>
  <c r="D1241" i="1"/>
  <c r="A1242" i="1"/>
  <c r="D1242" i="1"/>
  <c r="A1243" i="1"/>
  <c r="D1243" i="1"/>
  <c r="A1244" i="1"/>
  <c r="D1244" i="1"/>
  <c r="A1245" i="1"/>
  <c r="D1245" i="1"/>
  <c r="A1246" i="1"/>
  <c r="D1246" i="1"/>
  <c r="A1247" i="1"/>
  <c r="D1247" i="1"/>
  <c r="A1248" i="1"/>
  <c r="D1248" i="1"/>
  <c r="A1249" i="1"/>
  <c r="D1249" i="1"/>
  <c r="A1250" i="1"/>
  <c r="D1250" i="1"/>
  <c r="A1251" i="1"/>
  <c r="D1251" i="1"/>
  <c r="A1252" i="1"/>
  <c r="D1252" i="1"/>
  <c r="A1253" i="1"/>
  <c r="D1253" i="1"/>
  <c r="A1254" i="1"/>
  <c r="D1254" i="1"/>
  <c r="A1255" i="1"/>
  <c r="D1255" i="1"/>
  <c r="A1256" i="1"/>
  <c r="D1256" i="1"/>
  <c r="A1257" i="1"/>
  <c r="D1257" i="1"/>
  <c r="A1258" i="1"/>
  <c r="D1258" i="1"/>
  <c r="A1259" i="1"/>
  <c r="D1259" i="1"/>
  <c r="A1260" i="1"/>
  <c r="D1260" i="1"/>
  <c r="A1261" i="1"/>
  <c r="D1261" i="1"/>
  <c r="A1262" i="1"/>
  <c r="D1262" i="1"/>
  <c r="A1263" i="1"/>
  <c r="D1263" i="1"/>
  <c r="A1264" i="1"/>
  <c r="D1264" i="1"/>
  <c r="A1265" i="1"/>
  <c r="D1265" i="1"/>
  <c r="A1266" i="1"/>
  <c r="D1266" i="1"/>
  <c r="A1267" i="1"/>
  <c r="D1267" i="1"/>
  <c r="A1268" i="1"/>
  <c r="D1268" i="1"/>
  <c r="A1269" i="1"/>
  <c r="D1269" i="1"/>
  <c r="A1270" i="1"/>
  <c r="D1270" i="1"/>
  <c r="A1271" i="1"/>
  <c r="D1271" i="1"/>
  <c r="A1272" i="1"/>
  <c r="D1272" i="1"/>
  <c r="A1273" i="1"/>
  <c r="D1273" i="1"/>
  <c r="A1274" i="1"/>
  <c r="D1274" i="1"/>
  <c r="A1275" i="1"/>
  <c r="D1275" i="1"/>
  <c r="A1276" i="1"/>
  <c r="D1276" i="1"/>
  <c r="A1277" i="1"/>
  <c r="D1277" i="1"/>
  <c r="A1278" i="1"/>
  <c r="D1278" i="1"/>
  <c r="A1279" i="1"/>
  <c r="D1279" i="1"/>
  <c r="A1280" i="1"/>
  <c r="D1280" i="1"/>
  <c r="A1281" i="1"/>
  <c r="D1281" i="1"/>
  <c r="A1282" i="1"/>
  <c r="D1282" i="1"/>
  <c r="A1283" i="1"/>
  <c r="D1283" i="1"/>
  <c r="A1284" i="1"/>
  <c r="D1284" i="1"/>
  <c r="A1285" i="1"/>
  <c r="D1285" i="1"/>
  <c r="A1286" i="1"/>
  <c r="D1286" i="1"/>
  <c r="A1287" i="1"/>
  <c r="D1287" i="1"/>
  <c r="A1288" i="1"/>
  <c r="D1288" i="1"/>
  <c r="A1289" i="1"/>
  <c r="D1289" i="1"/>
  <c r="A1290" i="1"/>
  <c r="D1290" i="1"/>
  <c r="A1291" i="1"/>
  <c r="D1291" i="1"/>
  <c r="A1292" i="1"/>
  <c r="D1292" i="1"/>
  <c r="A1293" i="1"/>
  <c r="D1293" i="1"/>
  <c r="A1294" i="1"/>
  <c r="D1294" i="1"/>
  <c r="A1295" i="1"/>
  <c r="D1295" i="1"/>
  <c r="A1296" i="1"/>
  <c r="D1296" i="1"/>
  <c r="A1297" i="1"/>
  <c r="D1297" i="1"/>
  <c r="A1298" i="1"/>
  <c r="D1298" i="1"/>
  <c r="A1299" i="1"/>
  <c r="D1299" i="1"/>
  <c r="A1300" i="1"/>
  <c r="D1300" i="1"/>
  <c r="A1301" i="1"/>
  <c r="D1301" i="1"/>
  <c r="A1302" i="1"/>
  <c r="D1302" i="1"/>
  <c r="A1303" i="1"/>
  <c r="D1303" i="1"/>
  <c r="A1304" i="1"/>
  <c r="D1304" i="1"/>
  <c r="A1305" i="1"/>
  <c r="D1305" i="1"/>
  <c r="A1306" i="1"/>
  <c r="D1306" i="1"/>
  <c r="A1307" i="1"/>
  <c r="D1307" i="1"/>
  <c r="A1308" i="1"/>
  <c r="D1308" i="1"/>
  <c r="A1309" i="1"/>
  <c r="D1309" i="1"/>
  <c r="A1310" i="1"/>
  <c r="D1310" i="1"/>
  <c r="A1311" i="1"/>
  <c r="D1311" i="1"/>
  <c r="A1312" i="1"/>
  <c r="D1312" i="1"/>
  <c r="A1313" i="1"/>
  <c r="D1313" i="1"/>
  <c r="A1314" i="1"/>
  <c r="D1314" i="1"/>
  <c r="A1315" i="1"/>
  <c r="D1315" i="1"/>
  <c r="A1316" i="1"/>
  <c r="D1316" i="1"/>
  <c r="A1317" i="1"/>
  <c r="D1317" i="1"/>
  <c r="A1318" i="1"/>
  <c r="D1318" i="1"/>
  <c r="A1319" i="1"/>
  <c r="D1319" i="1"/>
  <c r="A1320" i="1"/>
  <c r="D1320" i="1"/>
  <c r="A1321" i="1"/>
  <c r="D1321" i="1"/>
  <c r="A1322" i="1"/>
  <c r="D1322" i="1"/>
  <c r="A1323" i="1"/>
  <c r="D1323" i="1"/>
  <c r="A1324" i="1"/>
  <c r="D1324" i="1"/>
  <c r="A1325" i="1"/>
  <c r="D1325" i="1"/>
  <c r="A1326" i="1"/>
  <c r="D1326" i="1"/>
  <c r="A1327" i="1"/>
  <c r="D1327" i="1"/>
  <c r="A1328" i="1"/>
  <c r="D1328" i="1"/>
  <c r="A1329" i="1"/>
  <c r="D1329" i="1"/>
  <c r="A1330" i="1"/>
  <c r="D1330" i="1"/>
  <c r="A1331" i="1"/>
  <c r="D1331" i="1"/>
  <c r="A1332" i="1"/>
  <c r="D1332" i="1"/>
  <c r="A1333" i="1"/>
  <c r="D1333" i="1"/>
  <c r="A1334" i="1"/>
  <c r="D1334" i="1"/>
  <c r="A1335" i="1"/>
  <c r="D1335" i="1"/>
  <c r="A1336" i="1"/>
  <c r="D1336" i="1"/>
  <c r="A1337" i="1"/>
  <c r="D1337" i="1"/>
  <c r="A1338" i="1"/>
  <c r="D1338" i="1"/>
  <c r="A1339" i="1"/>
  <c r="D1339" i="1"/>
  <c r="A1340" i="1"/>
  <c r="D1340" i="1"/>
  <c r="A1341" i="1"/>
  <c r="D1341" i="1"/>
  <c r="A1342" i="1"/>
  <c r="D1342" i="1"/>
  <c r="A1343" i="1"/>
  <c r="D1343" i="1"/>
  <c r="A1344" i="1"/>
  <c r="D1344" i="1"/>
  <c r="A1345" i="1"/>
  <c r="D1345" i="1"/>
  <c r="A1346" i="1"/>
  <c r="D1346" i="1"/>
  <c r="A1347" i="1"/>
  <c r="D1347" i="1"/>
  <c r="A1348" i="1"/>
  <c r="D1348" i="1"/>
  <c r="A1349" i="1"/>
  <c r="D1349" i="1"/>
  <c r="A1350" i="1"/>
  <c r="D1350" i="1"/>
  <c r="A1351" i="1"/>
  <c r="D1351" i="1"/>
  <c r="A1352" i="1"/>
  <c r="D1352" i="1"/>
  <c r="A1353" i="1"/>
  <c r="D1353" i="1"/>
  <c r="A1354" i="1"/>
  <c r="D1354" i="1"/>
  <c r="A1355" i="1"/>
  <c r="D1355" i="1"/>
  <c r="A1356" i="1"/>
  <c r="D1356" i="1"/>
  <c r="A1357" i="1"/>
  <c r="D1357" i="1"/>
  <c r="A1358" i="1"/>
  <c r="D1358" i="1"/>
  <c r="A1359" i="1"/>
  <c r="D1359" i="1"/>
  <c r="A1360" i="1"/>
  <c r="D1360" i="1"/>
  <c r="A1361" i="1"/>
  <c r="D1361" i="1"/>
  <c r="A1362" i="1"/>
  <c r="D1362" i="1"/>
  <c r="A1363" i="1"/>
  <c r="D1363" i="1"/>
  <c r="A1364" i="1"/>
  <c r="D1364" i="1"/>
  <c r="A1365" i="1"/>
  <c r="D1365" i="1"/>
  <c r="A1366" i="1"/>
  <c r="D1366" i="1"/>
  <c r="A1367" i="1"/>
  <c r="D1367" i="1"/>
  <c r="A1368" i="1"/>
  <c r="D1368" i="1"/>
  <c r="A1369" i="1"/>
  <c r="D1369" i="1"/>
  <c r="A1370" i="1"/>
  <c r="D1370" i="1"/>
  <c r="A1371" i="1"/>
  <c r="D1371" i="1"/>
  <c r="A1372" i="1"/>
  <c r="D1372" i="1"/>
  <c r="A1373" i="1"/>
  <c r="D1373" i="1"/>
  <c r="A1374" i="1"/>
  <c r="D1374" i="1"/>
  <c r="A1375" i="1"/>
  <c r="D1375" i="1"/>
  <c r="A1376" i="1"/>
  <c r="D1376" i="1"/>
  <c r="A1377" i="1"/>
  <c r="D1377" i="1"/>
  <c r="A1378" i="1"/>
  <c r="D1378" i="1"/>
  <c r="A1379" i="1"/>
  <c r="D1379" i="1"/>
  <c r="A1380" i="1"/>
  <c r="D1380" i="1"/>
  <c r="A1381" i="1"/>
  <c r="D1381" i="1"/>
  <c r="A1382" i="1"/>
  <c r="D1382" i="1"/>
  <c r="A1383" i="1"/>
  <c r="D1383" i="1"/>
  <c r="A1384" i="1"/>
  <c r="D1384" i="1"/>
  <c r="A1385" i="1"/>
  <c r="D1385" i="1"/>
  <c r="A1386" i="1"/>
  <c r="D1386" i="1"/>
  <c r="A1387" i="1"/>
  <c r="D1387" i="1"/>
  <c r="A1388" i="1"/>
  <c r="D1388" i="1"/>
  <c r="A1389" i="1"/>
  <c r="D1389" i="1"/>
  <c r="A1390" i="1"/>
  <c r="D1390" i="1"/>
  <c r="A1391" i="1"/>
  <c r="D1391" i="1"/>
  <c r="A1392" i="1"/>
  <c r="D1392" i="1"/>
  <c r="A1393" i="1"/>
  <c r="D1393" i="1"/>
  <c r="A1394" i="1"/>
  <c r="D1394" i="1"/>
  <c r="A1395" i="1"/>
  <c r="D1395" i="1"/>
  <c r="A1396" i="1"/>
  <c r="D1396" i="1"/>
  <c r="A1397" i="1"/>
  <c r="D1397" i="1"/>
  <c r="A1398" i="1"/>
  <c r="D1398" i="1"/>
  <c r="A1399" i="1"/>
  <c r="D1399" i="1"/>
  <c r="A1400" i="1"/>
  <c r="D1400" i="1"/>
  <c r="A1401" i="1"/>
  <c r="D1401" i="1"/>
  <c r="A1402" i="1"/>
  <c r="D1402" i="1"/>
  <c r="A1403" i="1"/>
  <c r="D1403" i="1"/>
  <c r="A1404" i="1"/>
  <c r="D1404" i="1"/>
  <c r="A1405" i="1"/>
  <c r="D1405" i="1"/>
  <c r="A1406" i="1"/>
  <c r="D1406" i="1"/>
  <c r="A1407" i="1"/>
  <c r="D1407" i="1"/>
  <c r="A1408" i="1"/>
  <c r="D1408" i="1"/>
  <c r="A1409" i="1"/>
  <c r="D1409" i="1"/>
  <c r="A1410" i="1"/>
  <c r="D1410" i="1"/>
  <c r="A1411" i="1"/>
  <c r="D1411" i="1"/>
  <c r="A1412" i="1"/>
  <c r="D1412" i="1"/>
  <c r="A1413" i="1"/>
  <c r="D1413" i="1"/>
  <c r="A1414" i="1"/>
  <c r="D1414" i="1"/>
  <c r="A1415" i="1"/>
  <c r="D1415" i="1"/>
  <c r="A1416" i="1"/>
  <c r="D1416" i="1"/>
  <c r="A1417" i="1"/>
  <c r="D1417" i="1"/>
  <c r="A1418" i="1"/>
  <c r="D1418" i="1"/>
  <c r="A1419" i="1"/>
  <c r="D1419" i="1"/>
  <c r="A1420" i="1"/>
  <c r="D1420" i="1"/>
  <c r="A1421" i="1"/>
  <c r="D1421" i="1"/>
  <c r="A1422" i="1"/>
  <c r="D1422" i="1"/>
  <c r="A1423" i="1"/>
  <c r="D1423" i="1"/>
  <c r="A1424" i="1"/>
  <c r="D1424" i="1"/>
  <c r="A1425" i="1"/>
  <c r="D1425" i="1"/>
  <c r="A1426" i="1"/>
  <c r="D1426" i="1"/>
  <c r="A1427" i="1"/>
  <c r="D1427" i="1"/>
  <c r="A1428" i="1"/>
  <c r="D1428" i="1"/>
  <c r="A1429" i="1"/>
  <c r="D1429" i="1"/>
  <c r="A1430" i="1"/>
  <c r="D1430" i="1"/>
  <c r="A1431" i="1"/>
  <c r="D1431" i="1"/>
  <c r="A1432" i="1"/>
  <c r="D1432" i="1"/>
  <c r="A1433" i="1"/>
  <c r="D1433" i="1"/>
  <c r="A1434" i="1"/>
  <c r="D1434" i="1"/>
  <c r="A1435" i="1"/>
  <c r="D1435" i="1"/>
  <c r="A1436" i="1"/>
  <c r="D1436" i="1"/>
  <c r="A1437" i="1"/>
  <c r="D1437" i="1"/>
  <c r="A1438" i="1"/>
  <c r="D1438" i="1"/>
  <c r="A1439" i="1"/>
  <c r="D1439" i="1"/>
  <c r="A1440" i="1"/>
  <c r="D1440" i="1"/>
  <c r="A1441" i="1"/>
  <c r="D1441" i="1"/>
  <c r="A1442" i="1"/>
  <c r="D1442" i="1"/>
  <c r="A1443" i="1"/>
  <c r="D1443" i="1"/>
  <c r="A1444" i="1"/>
  <c r="D1444" i="1"/>
  <c r="A1445" i="1"/>
  <c r="D1445" i="1"/>
  <c r="A1446" i="1"/>
  <c r="D1446" i="1"/>
  <c r="A1447" i="1"/>
  <c r="D1447" i="1"/>
  <c r="A1448" i="1"/>
  <c r="D1448" i="1"/>
  <c r="A1449" i="1"/>
  <c r="D1449" i="1"/>
  <c r="A1450" i="1"/>
  <c r="D1450" i="1"/>
  <c r="A1451" i="1"/>
  <c r="D1451" i="1"/>
  <c r="A1452" i="1"/>
  <c r="D1452" i="1"/>
  <c r="A1453" i="1"/>
  <c r="D1453" i="1"/>
  <c r="A1454" i="1"/>
  <c r="D1454" i="1"/>
  <c r="A1455" i="1"/>
  <c r="D1455" i="1"/>
  <c r="A1456" i="1"/>
  <c r="D1456" i="1"/>
  <c r="A1457" i="1"/>
  <c r="D1457" i="1"/>
  <c r="A1458" i="1"/>
  <c r="D1458" i="1"/>
  <c r="A1459" i="1"/>
  <c r="D1459" i="1"/>
  <c r="A1460" i="1"/>
  <c r="D1460" i="1"/>
  <c r="A1461" i="1"/>
  <c r="D1461" i="1"/>
  <c r="A1462" i="1"/>
  <c r="D1462" i="1"/>
  <c r="A1463" i="1"/>
  <c r="D1463" i="1"/>
  <c r="A1464" i="1"/>
  <c r="D1464" i="1"/>
  <c r="A1465" i="1"/>
  <c r="D1465" i="1"/>
  <c r="A1466" i="1"/>
  <c r="D1466" i="1"/>
  <c r="A1467" i="1"/>
  <c r="D1467" i="1"/>
  <c r="A1468" i="1"/>
  <c r="D1468" i="1"/>
  <c r="A1469" i="1"/>
  <c r="D1469" i="1"/>
  <c r="A1470" i="1"/>
  <c r="D1470" i="1"/>
  <c r="A1471" i="1"/>
  <c r="D1471" i="1"/>
  <c r="A1472" i="1"/>
  <c r="D1472" i="1"/>
  <c r="A1473" i="1"/>
  <c r="D1473" i="1"/>
  <c r="A1474" i="1"/>
  <c r="D1474" i="1"/>
  <c r="A1475" i="1"/>
  <c r="D1475" i="1"/>
  <c r="A1476" i="1"/>
  <c r="D1476" i="1"/>
  <c r="A1477" i="1"/>
  <c r="D1477" i="1"/>
  <c r="A1478" i="1"/>
  <c r="D1478" i="1"/>
  <c r="A1479" i="1"/>
  <c r="D1479" i="1"/>
  <c r="A1480" i="1"/>
  <c r="D1480" i="1"/>
  <c r="A1481" i="1"/>
  <c r="D1481" i="1"/>
  <c r="A1482" i="1"/>
  <c r="D1482" i="1"/>
  <c r="A1483" i="1"/>
  <c r="D1483" i="1"/>
  <c r="A1484" i="1"/>
  <c r="D1484" i="1"/>
  <c r="A1485" i="1"/>
  <c r="D1485" i="1"/>
  <c r="A1486" i="1"/>
  <c r="D1486" i="1"/>
  <c r="A1487" i="1"/>
  <c r="D1487" i="1"/>
  <c r="A1488" i="1"/>
  <c r="D1488" i="1"/>
  <c r="A1489" i="1"/>
  <c r="D1489" i="1"/>
  <c r="A1490" i="1"/>
  <c r="D1490" i="1"/>
  <c r="A1491" i="1"/>
  <c r="D1491" i="1"/>
  <c r="A1492" i="1"/>
  <c r="D1492" i="1"/>
  <c r="A1493" i="1"/>
  <c r="D1493" i="1"/>
  <c r="A1494" i="1"/>
  <c r="D1494" i="1"/>
  <c r="A1495" i="1"/>
  <c r="D1495" i="1"/>
  <c r="A1496" i="1"/>
  <c r="D1496" i="1"/>
  <c r="A1497" i="1"/>
  <c r="D1497" i="1"/>
  <c r="A1498" i="1"/>
  <c r="D1498" i="1"/>
  <c r="A1499" i="1"/>
  <c r="D1499" i="1"/>
  <c r="A1500" i="1"/>
  <c r="D1500" i="1"/>
  <c r="A1501" i="1"/>
  <c r="D1501" i="1"/>
  <c r="A1502" i="1"/>
  <c r="D1502" i="1"/>
  <c r="A1503" i="1"/>
  <c r="D1503" i="1"/>
  <c r="A1504" i="1"/>
  <c r="D1504" i="1"/>
  <c r="A1505" i="1"/>
  <c r="D1505" i="1"/>
  <c r="A1506" i="1"/>
  <c r="D1506" i="1"/>
  <c r="A1507" i="1"/>
  <c r="D1507" i="1"/>
  <c r="A1508" i="1"/>
  <c r="D1508" i="1"/>
  <c r="A1509" i="1"/>
  <c r="D1509" i="1"/>
  <c r="A1510" i="1"/>
  <c r="D1510" i="1"/>
  <c r="A1511" i="1"/>
  <c r="D1511" i="1"/>
  <c r="A1512" i="1"/>
  <c r="D1512" i="1"/>
  <c r="A1513" i="1"/>
  <c r="D1513" i="1"/>
  <c r="A1514" i="1"/>
  <c r="D1514" i="1"/>
  <c r="A1515" i="1"/>
  <c r="D1515" i="1"/>
  <c r="A1516" i="1"/>
  <c r="D1516" i="1"/>
  <c r="A1517" i="1"/>
  <c r="D1517" i="1"/>
  <c r="A1518" i="1"/>
  <c r="D1518" i="1"/>
  <c r="A1519" i="1"/>
  <c r="D1519" i="1"/>
  <c r="A1520" i="1"/>
  <c r="D1520" i="1"/>
  <c r="A1521" i="1"/>
  <c r="D1521" i="1"/>
  <c r="A1522" i="1"/>
  <c r="D1522" i="1"/>
  <c r="A1523" i="1"/>
  <c r="D1523" i="1"/>
  <c r="A1524" i="1"/>
  <c r="D1524" i="1"/>
  <c r="A1525" i="1"/>
  <c r="D1525" i="1"/>
  <c r="A1526" i="1"/>
  <c r="D1526" i="1"/>
  <c r="A1527" i="1"/>
  <c r="D1527" i="1"/>
  <c r="A1528" i="1"/>
  <c r="D1528" i="1"/>
  <c r="A1529" i="1"/>
  <c r="D1529" i="1"/>
  <c r="A1530" i="1"/>
  <c r="D1530" i="1"/>
  <c r="A1531" i="1"/>
  <c r="D1531" i="1"/>
  <c r="A1532" i="1"/>
  <c r="D1532" i="1"/>
  <c r="A1533" i="1"/>
  <c r="D1533" i="1"/>
  <c r="A1534" i="1"/>
  <c r="D1534" i="1"/>
  <c r="A1535" i="1"/>
  <c r="D1535" i="1"/>
  <c r="A1536" i="1"/>
  <c r="D1536" i="1"/>
  <c r="A1537" i="1"/>
  <c r="D1537" i="1"/>
  <c r="A1538" i="1"/>
  <c r="D1538" i="1"/>
  <c r="A1539" i="1"/>
  <c r="D1539" i="1"/>
  <c r="A1540" i="1"/>
  <c r="D1540" i="1"/>
  <c r="A1541" i="1"/>
  <c r="D1541" i="1"/>
  <c r="A1542" i="1"/>
  <c r="D1542" i="1"/>
  <c r="A1543" i="1"/>
  <c r="D1543" i="1"/>
  <c r="A1544" i="1"/>
  <c r="D1544" i="1"/>
  <c r="A1545" i="1"/>
  <c r="D1545" i="1"/>
  <c r="A1546" i="1"/>
  <c r="D1546" i="1"/>
  <c r="A1547" i="1"/>
  <c r="D1547" i="1"/>
  <c r="A1548" i="1"/>
  <c r="D1548" i="1"/>
  <c r="A1549" i="1"/>
  <c r="D1549" i="1"/>
  <c r="A1550" i="1"/>
  <c r="D1550" i="1"/>
  <c r="A1551" i="1"/>
  <c r="D1551" i="1"/>
  <c r="A1552" i="1"/>
  <c r="D1552" i="1"/>
  <c r="A1553" i="1"/>
  <c r="D1553" i="1"/>
  <c r="A1554" i="1"/>
  <c r="D1554" i="1"/>
  <c r="A1555" i="1"/>
  <c r="D1555" i="1"/>
  <c r="A1556" i="1"/>
  <c r="D1556" i="1"/>
  <c r="A1557" i="1"/>
  <c r="D1557" i="1"/>
  <c r="A1558" i="1"/>
  <c r="D1558" i="1"/>
  <c r="A1559" i="1"/>
  <c r="D1559" i="1"/>
  <c r="A1560" i="1"/>
  <c r="D1560" i="1"/>
  <c r="A1561" i="1"/>
  <c r="D1561" i="1"/>
  <c r="A1562" i="1"/>
  <c r="D1562" i="1"/>
  <c r="A1563" i="1"/>
  <c r="D1563" i="1"/>
  <c r="A1564" i="1"/>
  <c r="D1564" i="1"/>
  <c r="A1565" i="1"/>
  <c r="D1565" i="1"/>
  <c r="A1566" i="1"/>
  <c r="D1566" i="1"/>
  <c r="A1567" i="1"/>
  <c r="D1567" i="1"/>
  <c r="A1568" i="1"/>
  <c r="D1568" i="1"/>
  <c r="A1569" i="1"/>
  <c r="D1569" i="1"/>
  <c r="A1570" i="1"/>
  <c r="D1570" i="1"/>
  <c r="A1571" i="1"/>
  <c r="D1571" i="1"/>
  <c r="A1572" i="1"/>
  <c r="D1572" i="1"/>
  <c r="A1573" i="1"/>
  <c r="D1573" i="1"/>
  <c r="A1574" i="1"/>
  <c r="D1574" i="1"/>
  <c r="A1575" i="1"/>
  <c r="D1575" i="1"/>
  <c r="A1576" i="1"/>
  <c r="D1576" i="1"/>
  <c r="A1577" i="1"/>
  <c r="D1577" i="1"/>
  <c r="A1578" i="1"/>
  <c r="D1578" i="1"/>
  <c r="A1579" i="1"/>
  <c r="D1579" i="1"/>
  <c r="A1580" i="1"/>
  <c r="D1580" i="1"/>
  <c r="A1581" i="1"/>
  <c r="D1581" i="1"/>
  <c r="A1582" i="1"/>
  <c r="D1582" i="1"/>
  <c r="A1583" i="1"/>
  <c r="D1583" i="1"/>
  <c r="A1584" i="1"/>
  <c r="D1584" i="1"/>
  <c r="A1585" i="1"/>
  <c r="D1585" i="1"/>
  <c r="A1586" i="1"/>
  <c r="D1586" i="1"/>
  <c r="A1587" i="1"/>
  <c r="D1587" i="1"/>
  <c r="A1588" i="1"/>
  <c r="D1588" i="1"/>
  <c r="A1589" i="1"/>
  <c r="D1589" i="1"/>
  <c r="A1590" i="1"/>
  <c r="D1590" i="1"/>
  <c r="A1591" i="1"/>
  <c r="D1591" i="1"/>
  <c r="A1592" i="1"/>
  <c r="D1592" i="1"/>
  <c r="A1593" i="1"/>
  <c r="D1593" i="1"/>
  <c r="A1594" i="1"/>
  <c r="D1594" i="1"/>
  <c r="A1595" i="1"/>
  <c r="D1595" i="1"/>
  <c r="A1596" i="1"/>
  <c r="D1596" i="1"/>
  <c r="A1597" i="1"/>
  <c r="D1597" i="1"/>
  <c r="A1598" i="1"/>
  <c r="D1598" i="1"/>
  <c r="A1599" i="1"/>
  <c r="D1599" i="1"/>
  <c r="A1600" i="1"/>
  <c r="D1600" i="1"/>
  <c r="A1601" i="1"/>
  <c r="D1601" i="1"/>
  <c r="A1602" i="1"/>
  <c r="D1602" i="1"/>
  <c r="A1603" i="1"/>
  <c r="A1604" i="1"/>
</calcChain>
</file>

<file path=xl/sharedStrings.xml><?xml version="1.0" encoding="utf-8"?>
<sst xmlns="http://schemas.openxmlformats.org/spreadsheetml/2006/main" count="8005" uniqueCount="1620">
  <si>
    <t>Date To</t>
  </si>
  <si>
    <t>Base Currency</t>
  </si>
  <si>
    <t>Major Issue Description</t>
  </si>
  <si>
    <t>Security ID</t>
  </si>
  <si>
    <t>Security Description</t>
  </si>
  <si>
    <t>Local Currency</t>
  </si>
  <si>
    <t xml:space="preserve">% Holding  </t>
  </si>
  <si>
    <t>USD</t>
  </si>
  <si>
    <t>Equity</t>
  </si>
  <si>
    <t xml:space="preserve">AGL Energy Ltd Ordinary AUD </t>
  </si>
  <si>
    <t>AUD</t>
  </si>
  <si>
    <t xml:space="preserve">   </t>
  </si>
  <si>
    <t xml:space="preserve">AMP Ltd Ordinary AUD </t>
  </si>
  <si>
    <t xml:space="preserve">APA Group Stapled Security AUD </t>
  </si>
  <si>
    <t xml:space="preserve">ASX Ltd Ordinary AUD </t>
  </si>
  <si>
    <t xml:space="preserve">Alumina Ltd Ordinary AUD </t>
  </si>
  <si>
    <t xml:space="preserve">Amcor Ltd/Australia Ordinary AUD </t>
  </si>
  <si>
    <t xml:space="preserve">Aristocrat Leisure Ltd Ordinary AUD </t>
  </si>
  <si>
    <t xml:space="preserve">Aurizon Holdings Ltd Ordinary AUD </t>
  </si>
  <si>
    <t xml:space="preserve">AusNet Services Ordinary AUD </t>
  </si>
  <si>
    <t xml:space="preserve">Australia &amp; New Zealand Bking Ordinary AUD </t>
  </si>
  <si>
    <t xml:space="preserve">Bendigo &amp; Adelaide Bk Ltd Ordinary AUD </t>
  </si>
  <si>
    <t xml:space="preserve">Bk of Queensland Ltd Ordinary AUD </t>
  </si>
  <si>
    <t xml:space="preserve">BlueScope Steel Ltd Ordinary AUD </t>
  </si>
  <si>
    <t xml:space="preserve">Boral Ltd Ordinary AUD </t>
  </si>
  <si>
    <t xml:space="preserve">Brambles Ltd Ordinary AUD </t>
  </si>
  <si>
    <t xml:space="preserve">CIMIC Group Ltd Ordinary AUD </t>
  </si>
  <si>
    <t xml:space="preserve">CSL Ltd Ordinary AUD </t>
  </si>
  <si>
    <t xml:space="preserve">Caltex Australia Ltd Ordinary AUD </t>
  </si>
  <si>
    <t xml:space="preserve">Challenger Ltd/Australia Ordinary AUD </t>
  </si>
  <si>
    <t xml:space="preserve">Coca-Cola Amatil Ltd Ordinary AUD </t>
  </si>
  <si>
    <t xml:space="preserve">Cochlear Ltd Ordinary AUD </t>
  </si>
  <si>
    <t xml:space="preserve">Commonwealth Bk of Australia Ordinary AUD </t>
  </si>
  <si>
    <t xml:space="preserve">Computershare Ltd Ordinary AUD </t>
  </si>
  <si>
    <t xml:space="preserve">Crown Resorts Ltd Ordinary AUD </t>
  </si>
  <si>
    <t xml:space="preserve">Dexus REIT AUD </t>
  </si>
  <si>
    <t xml:space="preserve">Flight Centre Travel Group Ltd Ordinary AUD </t>
  </si>
  <si>
    <t xml:space="preserve">Fortescue Metals Group Ltd Ordinary AUD </t>
  </si>
  <si>
    <t xml:space="preserve">GPT Group/The REIT AUD </t>
  </si>
  <si>
    <t xml:space="preserve">Goodman Group REIT AUD </t>
  </si>
  <si>
    <t xml:space="preserve">Harvey Norman Holdings Ltd Ordinary AUD </t>
  </si>
  <si>
    <t xml:space="preserve">Healthscope Ltd Ordinary AUD </t>
  </si>
  <si>
    <t xml:space="preserve">Incitec Pivot Ltd Ordinary AUD </t>
  </si>
  <si>
    <t xml:space="preserve">Insurance Australia Group Ltd Ordinary AUD </t>
  </si>
  <si>
    <t xml:space="preserve">James Hardie Industries PLC CDI AUD </t>
  </si>
  <si>
    <t xml:space="preserve">LendLease Group Stapled Security AUD </t>
  </si>
  <si>
    <t xml:space="preserve">Macquarie Group Ltd Ordinary AUD </t>
  </si>
  <si>
    <t xml:space="preserve">Medibank Pvt Ltd Ordinary AUD </t>
  </si>
  <si>
    <t xml:space="preserve">Mirvac Group REIT AUD </t>
  </si>
  <si>
    <t xml:space="preserve">National Australia Bk Ltd Ordinary AUD </t>
  </si>
  <si>
    <t xml:space="preserve">Newcrest Mining Ltd Ordinary AUD </t>
  </si>
  <si>
    <t xml:space="preserve">Oil Search Ltd Ordinary AUD </t>
  </si>
  <si>
    <t xml:space="preserve">Orica Ltd Ordinary AUD </t>
  </si>
  <si>
    <t xml:space="preserve">Origin Energy Ltd Ordinary AUD </t>
  </si>
  <si>
    <t xml:space="preserve">QBE Insurance Group Ltd Ordinary AUD </t>
  </si>
  <si>
    <t xml:space="preserve">REA Group Ltd Ordinary AUD </t>
  </si>
  <si>
    <t xml:space="preserve">Ramsay Health Care Ltd Ordinary AUD </t>
  </si>
  <si>
    <t xml:space="preserve">Rio Tinto Ltd Ordinary AUD </t>
  </si>
  <si>
    <t xml:space="preserve">SEEK Ltd Ordinary AUD </t>
  </si>
  <si>
    <t xml:space="preserve">Santos Ltd Ordinary AUD </t>
  </si>
  <si>
    <t xml:space="preserve">Scentre Group REIT AUD </t>
  </si>
  <si>
    <t xml:space="preserve">Sonic Healthcare Ltd Ordinary AUD </t>
  </si>
  <si>
    <t xml:space="preserve">South32 Ltd Ordinary AUD </t>
  </si>
  <si>
    <t xml:space="preserve">Stockland REIT AUD </t>
  </si>
  <si>
    <t xml:space="preserve">Suncorp Group Ltd Ordinary AUD </t>
  </si>
  <si>
    <t xml:space="preserve">Sydney Airport Stapled Security AUD </t>
  </si>
  <si>
    <t xml:space="preserve">Tabcorp Holdings Ltd Ordinary AUD </t>
  </si>
  <si>
    <t xml:space="preserve">Telstra Corp Ltd Ordinary AUD </t>
  </si>
  <si>
    <t xml:space="preserve">Transurban Group Stapled Security AUD </t>
  </si>
  <si>
    <t xml:space="preserve">Treasury Wine Estates Ltd Ordinary AUD </t>
  </si>
  <si>
    <t xml:space="preserve">Vicinity Centres REIT AUD </t>
  </si>
  <si>
    <t xml:space="preserve">Wesfarmers Ltd Ordinary AUD </t>
  </si>
  <si>
    <t xml:space="preserve">Westpac Bking Corp Ordinary AUD </t>
  </si>
  <si>
    <t xml:space="preserve">Woodside Pet Ltd Ordinary AUD </t>
  </si>
  <si>
    <t xml:space="preserve">Woolworths Group Ltd Ordinary AUD </t>
  </si>
  <si>
    <t>Net Liquidity</t>
  </si>
  <si>
    <t xml:space="preserve">                                                                        </t>
  </si>
  <si>
    <t xml:space="preserve">ARC Resources Ltd Common Stock CAD </t>
  </si>
  <si>
    <t>CAD</t>
  </si>
  <si>
    <t xml:space="preserve">Agnico Eagle Mines Ltd Common Stock CAD </t>
  </si>
  <si>
    <t xml:space="preserve">Alimentation Couche-Tard Inc Common Stock CAD </t>
  </si>
  <si>
    <t xml:space="preserve">AltaGas Ltd Common Stock CAD </t>
  </si>
  <si>
    <t xml:space="preserve">Atco Ltd/Canada Common Stock CAD </t>
  </si>
  <si>
    <t xml:space="preserve">BCE Inc Common Stock CAD </t>
  </si>
  <si>
    <t xml:space="preserve">Bk of Montreal Common Stock CAD </t>
  </si>
  <si>
    <t xml:space="preserve">Bk of Nova Scotia/The Common Stock CAD </t>
  </si>
  <si>
    <t xml:space="preserve">BlackBerry Ltd Common Stock CAD </t>
  </si>
  <si>
    <t xml:space="preserve">Bombardier Inc Common Stock CAD </t>
  </si>
  <si>
    <t xml:space="preserve">Brookfield Asset Mgt Inc Common Stock CAD CL A </t>
  </si>
  <si>
    <t xml:space="preserve">CAE Inc Common Stock CAD </t>
  </si>
  <si>
    <t xml:space="preserve">CCL Industries Inc Common Stock CAD CL B </t>
  </si>
  <si>
    <t xml:space="preserve">CGI Group Inc Common Stock CAD CL A </t>
  </si>
  <si>
    <t xml:space="preserve">CI Financial Corp Common Stock CAD </t>
  </si>
  <si>
    <t xml:space="preserve">Cameco Corp Common Stock CAD </t>
  </si>
  <si>
    <t xml:space="preserve">Canadian Imperial Bk of Commer Common Stock CAD </t>
  </si>
  <si>
    <t xml:space="preserve">Canadian National Railway Co Common Stock CAD </t>
  </si>
  <si>
    <t xml:space="preserve">Canadian Natural Resources Ltd Common Stock CAD </t>
  </si>
  <si>
    <t xml:space="preserve">Canadian Pacific Railway Ltd Common Stock CAD </t>
  </si>
  <si>
    <t xml:space="preserve">Canadian Tire Corp Ltd Common Stock CAD CL A </t>
  </si>
  <si>
    <t xml:space="preserve">Canadian Utilities Ltd Common Stock CAD </t>
  </si>
  <si>
    <t xml:space="preserve">Cenovus Energy Inc Common Stock CAD </t>
  </si>
  <si>
    <t xml:space="preserve">Constellation Software Inc/Can Common Stock CAD </t>
  </si>
  <si>
    <t xml:space="preserve">Crescent Point Energy Corp Common Stock CAD </t>
  </si>
  <si>
    <t xml:space="preserve">Dollarama Inc Common Stock CAD </t>
  </si>
  <si>
    <t xml:space="preserve">Emera Inc Common Stock CAD </t>
  </si>
  <si>
    <t xml:space="preserve">Empire Co Ltd Common Stock CAD </t>
  </si>
  <si>
    <t xml:space="preserve">Enbridge Inc Common Stock CAD </t>
  </si>
  <si>
    <t xml:space="preserve">Encana Corp Common Stock CAD </t>
  </si>
  <si>
    <t xml:space="preserve">Fairfax Financial Holdings Ltd Common Stock CAD </t>
  </si>
  <si>
    <t xml:space="preserve">Finning Intl Inc Common Stock CAD </t>
  </si>
  <si>
    <t xml:space="preserve">First Capital Realty Inc Common Stock CAD </t>
  </si>
  <si>
    <t xml:space="preserve">First Quantum Minerals Ltd Common Stock CAD </t>
  </si>
  <si>
    <t xml:space="preserve">Fortis Inc/Canada Common Stock CAD </t>
  </si>
  <si>
    <t xml:space="preserve">Franco-Nevada Corp Common Stock CAD </t>
  </si>
  <si>
    <t xml:space="preserve">George Weston Ltd Common Stock CAD </t>
  </si>
  <si>
    <t xml:space="preserve">Gildan Activewear Inc Common Stock CAD </t>
  </si>
  <si>
    <t xml:space="preserve">Goldcorp Inc Common Stock CAD </t>
  </si>
  <si>
    <t xml:space="preserve">Great-West Lifeco Inc Common Stock CAD </t>
  </si>
  <si>
    <t xml:space="preserve">H&amp;R Real Estate Investment Tst REIT CAD </t>
  </si>
  <si>
    <t xml:space="preserve">Husky Energy Inc Common Stock CAD </t>
  </si>
  <si>
    <t xml:space="preserve">Hydro One Ltd Common Stock CAD </t>
  </si>
  <si>
    <t xml:space="preserve">IGM Financial Inc Common Stock CAD </t>
  </si>
  <si>
    <t xml:space="preserve">Imperial Oil Ltd Common Stock CAD </t>
  </si>
  <si>
    <t xml:space="preserve">Industrial Alliance Insurance Common Stock CAD </t>
  </si>
  <si>
    <t xml:space="preserve">Intact Financial Corp Common Stock CAD </t>
  </si>
  <si>
    <t xml:space="preserve">Inter Pipeline Ltd Common Stock CAD </t>
  </si>
  <si>
    <t xml:space="preserve">Keyera Corp Common Stock CAD </t>
  </si>
  <si>
    <t xml:space="preserve">Kinross Gold Corp Common Stock CAD </t>
  </si>
  <si>
    <t xml:space="preserve">Linamar Corp Common Stock CAD </t>
  </si>
  <si>
    <t xml:space="preserve">Loblaw Cos Ltd Common Stock CAD </t>
  </si>
  <si>
    <t xml:space="preserve">Lundin Mining Corp Common Stock CAD </t>
  </si>
  <si>
    <t xml:space="preserve">Magna Intl Inc Common Stock CAD </t>
  </si>
  <si>
    <t xml:space="preserve">Manulife Financial Corp Common Stock CAD </t>
  </si>
  <si>
    <t xml:space="preserve">Methanex Corp Common Stock CAD </t>
  </si>
  <si>
    <t xml:space="preserve">Metro Inc Common Stock CAD </t>
  </si>
  <si>
    <t xml:space="preserve">National Bk of Canada Common Stock CAD </t>
  </si>
  <si>
    <t xml:space="preserve">Nutrien Ltd Common Stock CAD </t>
  </si>
  <si>
    <t xml:space="preserve">Onex Corp Common Stock CAD </t>
  </si>
  <si>
    <t xml:space="preserve">Open Text Corp Common Stock CAD </t>
  </si>
  <si>
    <t xml:space="preserve">Pembina Pipeline Corp Common Stock CAD </t>
  </si>
  <si>
    <t xml:space="preserve">Power Corp of Canada Common Stock CAD </t>
  </si>
  <si>
    <t xml:space="preserve">Power Financial Corp Common Stock CAD </t>
  </si>
  <si>
    <t xml:space="preserve">PrairieSky Royalty Ltd Common Stock CAD </t>
  </si>
  <si>
    <t xml:space="preserve">Restaurant Brands Intl Inc Common Stock CAD </t>
  </si>
  <si>
    <t xml:space="preserve">RioCan Real Estate Investment REIT CAD </t>
  </si>
  <si>
    <t xml:space="preserve">Rogers Communications Inc Common Stock CAD </t>
  </si>
  <si>
    <t xml:space="preserve">Royal Bk of Canada Common Stock CAD </t>
  </si>
  <si>
    <t xml:space="preserve">Saputo Inc Common Stock CAD </t>
  </si>
  <si>
    <t xml:space="preserve">Seven Generations Energy Ltd Common Stock CAD </t>
  </si>
  <si>
    <t xml:space="preserve">Shaw Communications Inc Common Stock CAD </t>
  </si>
  <si>
    <t xml:space="preserve">Shopify Inc Common Stock CAD CL A </t>
  </si>
  <si>
    <t xml:space="preserve">Sino-Forest Corp Common Stock CAD </t>
  </si>
  <si>
    <t xml:space="preserve">Sun Life Financial Inc Common Stock CAD </t>
  </si>
  <si>
    <t xml:space="preserve">Suncor Energy Inc Common Stock CAD </t>
  </si>
  <si>
    <t xml:space="preserve">TELUS Corp Common Stock CAD </t>
  </si>
  <si>
    <t xml:space="preserve">Teck Resources Ltd Common Stock CAD </t>
  </si>
  <si>
    <t xml:space="preserve">Thomson Reuters Corp Common Stock CAD </t>
  </si>
  <si>
    <t xml:space="preserve">Toronto-Dominion Bk/The Common Stock CAD </t>
  </si>
  <si>
    <t xml:space="preserve">Tourmaline Oil Corp Common Stock CAD </t>
  </si>
  <si>
    <t xml:space="preserve">TransCanada Corp Common Stock CAD </t>
  </si>
  <si>
    <t xml:space="preserve">Turquoise Hill Resources Ltd Common Stock CAD </t>
  </si>
  <si>
    <t xml:space="preserve">Vermilion Energy Inc Common Stock CAD </t>
  </si>
  <si>
    <t xml:space="preserve">WSP Global Inc Common Stock CAD </t>
  </si>
  <si>
    <t xml:space="preserve">West Fraser Timber Co Ltd Common Stock CAD </t>
  </si>
  <si>
    <t xml:space="preserve">Wheaton Precious Metals Corp Common Stock CAD </t>
  </si>
  <si>
    <t xml:space="preserve">                                                                                   </t>
  </si>
  <si>
    <t xml:space="preserve">ABB Ltd Ordinary CHF 0.12 </t>
  </si>
  <si>
    <t>CHF</t>
  </si>
  <si>
    <t xml:space="preserve">Adecco Group AG Ordinary CHF 0.1 </t>
  </si>
  <si>
    <t xml:space="preserve">Baloise Holding AG Ordinary CHF 0.1 </t>
  </si>
  <si>
    <t xml:space="preserve">Barry Callebaut AG Ordinary CHF 0.02 </t>
  </si>
  <si>
    <t xml:space="preserve">Chocoladefabriken Lindt &amp; Spru Ordinary CHF 10.0 </t>
  </si>
  <si>
    <t xml:space="preserve">Chocoladefabriken Lindt &amp; Spru Ordinary CHF 100.0 </t>
  </si>
  <si>
    <t xml:space="preserve">Cie Financiere Richemont SA Ordinary CHF 1.0 </t>
  </si>
  <si>
    <t xml:space="preserve">Clariant AG Ordinary CHF 3.7 </t>
  </si>
  <si>
    <t xml:space="preserve">Credit Suisse Group AG Ordinary CHF 0.04 </t>
  </si>
  <si>
    <t xml:space="preserve">Dufry AG Ordinary CHF 5.0 </t>
  </si>
  <si>
    <t xml:space="preserve">EMS-Chemie Holding AG Ordinary CHF 0.01 </t>
  </si>
  <si>
    <t xml:space="preserve">Geberit AG Ordinary CHF 0.1 </t>
  </si>
  <si>
    <t xml:space="preserve">Givaudan SA Ordinary CHF 10.0 </t>
  </si>
  <si>
    <t xml:space="preserve">Julius Baer Group Ltd Ordinary CHF 0.02 </t>
  </si>
  <si>
    <t xml:space="preserve">Kuehne + Nagel Intl AG Ordinary CHF 1.0 </t>
  </si>
  <si>
    <t xml:space="preserve">LafargeHolcim Ltd Ordinary CHF 2.0 </t>
  </si>
  <si>
    <t xml:space="preserve">Lonza Group AG Ordinary CHF 1.0 </t>
  </si>
  <si>
    <t xml:space="preserve">Nestle SA Ordinary CHF 0.1 </t>
  </si>
  <si>
    <t xml:space="preserve">Pargesa Holding SA Ordinary CHF 20.0 </t>
  </si>
  <si>
    <t xml:space="preserve">Partners Group Holding AG Ordinary CHF 0.01 </t>
  </si>
  <si>
    <t xml:space="preserve">Roche Holding AG Ordinary CHF </t>
  </si>
  <si>
    <t xml:space="preserve">SGS SA Ordinary CHF 1.0 </t>
  </si>
  <si>
    <t xml:space="preserve">Schindler Holding AG Ordinary CHF 0.1 </t>
  </si>
  <si>
    <t xml:space="preserve">Sika AG Ordinary CHF 0.01 </t>
  </si>
  <si>
    <t xml:space="preserve">Sonova Holding AG Ordinary CHF 0.05 </t>
  </si>
  <si>
    <t xml:space="preserve">Straumann Holding AG Ordinary CHF 0.1 </t>
  </si>
  <si>
    <t xml:space="preserve">Swatch Group AG/The Ordinary CHF 0.45 </t>
  </si>
  <si>
    <t xml:space="preserve">Swatch Group AG/The Ordinary CHF 2.25 </t>
  </si>
  <si>
    <t xml:space="preserve">Swiss Life Holding AG Ordinary CHF 5.1 </t>
  </si>
  <si>
    <t xml:space="preserve">Swiss Prime Site AG Ordinary CHF 15.3 </t>
  </si>
  <si>
    <t xml:space="preserve">Swiss Re AG Ordinary CHF 0.1 </t>
  </si>
  <si>
    <t xml:space="preserve">Swisscom AG Ordinary CHF 1.0 </t>
  </si>
  <si>
    <t xml:space="preserve">Temenos AG Ordinary CHF 5.0 </t>
  </si>
  <si>
    <t xml:space="preserve">UBS Group AG Ordinary CHF 0.1 </t>
  </si>
  <si>
    <t xml:space="preserve">Vifor Pharma AG Ordinary CHF 0.01 </t>
  </si>
  <si>
    <t xml:space="preserve">Zurich Insurance Group AG Ordinary CHF 0.1 </t>
  </si>
  <si>
    <t xml:space="preserve">                                                                                             </t>
  </si>
  <si>
    <t xml:space="preserve">AP Moller - Maersk A/S Ordinary DKK 1000.0 </t>
  </si>
  <si>
    <t>DKK</t>
  </si>
  <si>
    <t xml:space="preserve">Carlsberg A/S Ordinary DKK 20.0 </t>
  </si>
  <si>
    <t xml:space="preserve">Chr Hansen Holding A/S Ordinary DKK 10.0 </t>
  </si>
  <si>
    <t xml:space="preserve">Coloplast A/S Ordinary DKK 1.0 </t>
  </si>
  <si>
    <t xml:space="preserve">DSV A/S Ordinary DKK 1.0 </t>
  </si>
  <si>
    <t xml:space="preserve">Danske Bk A/S Ordinary DKK 10.0 </t>
  </si>
  <si>
    <t xml:space="preserve">Genmab A/S Ordinary DKK 1.0 </t>
  </si>
  <si>
    <t xml:space="preserve">H Lundbeck A/S Ordinary DKK 5.0 </t>
  </si>
  <si>
    <t xml:space="preserve">ISS A/S Ordinary DKK 1.0 </t>
  </si>
  <si>
    <t xml:space="preserve">Novo Nordisk A/S Ordinary DKK 0.2 </t>
  </si>
  <si>
    <t xml:space="preserve">Novozymes A/S Ordinary DKK 2.0 </t>
  </si>
  <si>
    <t xml:space="preserve">Orsted A/S Ordinary DKK 10.0 </t>
  </si>
  <si>
    <t xml:space="preserve">Pandora A/S Ordinary DKK 0.01 </t>
  </si>
  <si>
    <t xml:space="preserve">Tryg A/S Ordinary DKK 5.0 </t>
  </si>
  <si>
    <t xml:space="preserve">Vestas Wind Systems A/S Ordinary DKK 1.0 </t>
  </si>
  <si>
    <t xml:space="preserve">William Demant Holding A/S Ordinary DKK 0.2 </t>
  </si>
  <si>
    <t xml:space="preserve">                                                                                      </t>
  </si>
  <si>
    <t xml:space="preserve">1&amp;1 Drillisch AG Ordinary EUR </t>
  </si>
  <si>
    <t>EUR</t>
  </si>
  <si>
    <t xml:space="preserve">ABN AMRO Group NV Dutch Cert EUR </t>
  </si>
  <si>
    <t xml:space="preserve">ACS Actividades de Construccio Ordinary EUR 0.5 </t>
  </si>
  <si>
    <t xml:space="preserve">ANDRITZ AG Ordinary EUR </t>
  </si>
  <si>
    <t xml:space="preserve">ASML Holding NV Ordinary EUR 0.09 </t>
  </si>
  <si>
    <t xml:space="preserve">AXA SA Ordinary EUR 2.29 </t>
  </si>
  <si>
    <t xml:space="preserve">Accor SA Ordinary EUR 3.0 </t>
  </si>
  <si>
    <t xml:space="preserve">Aegon NV Ordinary EUR 0.12 </t>
  </si>
  <si>
    <t xml:space="preserve">Aena SME SA Ordinary EUR 10.0 </t>
  </si>
  <si>
    <t xml:space="preserve">Aeroports de Paris Ordinary EUR 3.0 </t>
  </si>
  <si>
    <t xml:space="preserve">Ageas Ordinary EUR </t>
  </si>
  <si>
    <t xml:space="preserve">Air Liquide SA Ordinary EUR 5.5 </t>
  </si>
  <si>
    <t xml:space="preserve">Akzo Nobel NV Ordinary EUR 2.0 </t>
  </si>
  <si>
    <t xml:space="preserve">Allianz SE Ordinary EUR </t>
  </si>
  <si>
    <t xml:space="preserve">Alstom SA Ordinary EUR 7.0 </t>
  </si>
  <si>
    <t xml:space="preserve">Amadeus IT Group SA Ordinary EUR 0.01 </t>
  </si>
  <si>
    <t xml:space="preserve">Amundi SA Ordinary EUR 2.5 </t>
  </si>
  <si>
    <t xml:space="preserve">Anheuser-Busch InBev SA/NV Ordinary EUR </t>
  </si>
  <si>
    <t xml:space="preserve">ArcelorMittal Ordinary EUR 0E-14 </t>
  </si>
  <si>
    <t xml:space="preserve">Arkema SA Ordinary EUR 10.0 </t>
  </si>
  <si>
    <t xml:space="preserve">Assicurazioni Generali SpA Ordinary EUR 1.0 </t>
  </si>
  <si>
    <t xml:space="preserve">Atlantia SpA Ordinary EUR 1.0 </t>
  </si>
  <si>
    <t xml:space="preserve">Atos SE Ordinary EUR 1.0 </t>
  </si>
  <si>
    <t xml:space="preserve">Axel Springer SE Ordinary EUR 1.0 </t>
  </si>
  <si>
    <t xml:space="preserve">BASF SE Ordinary EUR </t>
  </si>
  <si>
    <t xml:space="preserve">BNP Paribas SA Ordinary EUR 2.0 </t>
  </si>
  <si>
    <t xml:space="preserve">Banco Bilbao Vizcaya Argentari Ordinary EUR 0.49 </t>
  </si>
  <si>
    <t xml:space="preserve">Banco Espirito Santo SA Ordinary EUR </t>
  </si>
  <si>
    <t xml:space="preserve">Banco Santander SA Ordinary EUR 0.5 </t>
  </si>
  <si>
    <t xml:space="preserve">Banco de Sabadell SA Ordinary EUR 0.125 </t>
  </si>
  <si>
    <t xml:space="preserve">Bayer AG Ordinary EUR </t>
  </si>
  <si>
    <t xml:space="preserve">Bayerische Motoren Werke AG Ordinary EUR 1.0 </t>
  </si>
  <si>
    <t xml:space="preserve">Bayerische Motoren Werke AG Preference EUR </t>
  </si>
  <si>
    <t xml:space="preserve">Beiersdorf AG Ordinary EUR </t>
  </si>
  <si>
    <t xml:space="preserve">BioMerieux Ordinary EUR 0E-14 </t>
  </si>
  <si>
    <t xml:space="preserve">Bk of Ireland Group PLC Ordinary EUR 1.0 </t>
  </si>
  <si>
    <t xml:space="preserve">Bkia SA Ordinary EUR 1.0 </t>
  </si>
  <si>
    <t xml:space="preserve">Bkinter SA Ordinary EUR 0.3 </t>
  </si>
  <si>
    <t xml:space="preserve">Bollore SA Ordinary EUR 0.16 </t>
  </si>
  <si>
    <t xml:space="preserve">Bouygues SA Ordinary EUR 1.0 </t>
  </si>
  <si>
    <t xml:space="preserve">Brenntag AG Ordinary EUR </t>
  </si>
  <si>
    <t xml:space="preserve">Bureau Veritas SA Ordinary EUR 0.12 </t>
  </si>
  <si>
    <t xml:space="preserve">CNH Industrial NV Ordinary EUR 0.01 </t>
  </si>
  <si>
    <t xml:space="preserve">CNP Assurances Ordinary EUR 1.0 </t>
  </si>
  <si>
    <t xml:space="preserve">CRH PLC Ordinary EUR 0.32 </t>
  </si>
  <si>
    <t xml:space="preserve">CaixaBk SA Ordinary EUR 1.0 </t>
  </si>
  <si>
    <t xml:space="preserve">Capgemini SE Ordinary EUR 8.0 </t>
  </si>
  <si>
    <t xml:space="preserve">Carrefour SA Ordinary EUR 2.5 </t>
  </si>
  <si>
    <t xml:space="preserve">Casino Guichard Perrachon SA Ordinary EUR 1.53 </t>
  </si>
  <si>
    <t xml:space="preserve">Cie Generale des Etablissement Ordinary EUR 2.0 </t>
  </si>
  <si>
    <t xml:space="preserve">Cie de Saint-Gobain Ordinary EUR 4.0 </t>
  </si>
  <si>
    <t xml:space="preserve">Colruyt SA Ordinary EUR </t>
  </si>
  <si>
    <t xml:space="preserve">Commerzbank AG Ordinary EUR </t>
  </si>
  <si>
    <t xml:space="preserve">Continental AG Ordinary EUR </t>
  </si>
  <si>
    <t xml:space="preserve">Covestro AG Ordinary EUR </t>
  </si>
  <si>
    <t xml:space="preserve">Covivio REIT EUR </t>
  </si>
  <si>
    <t xml:space="preserve">Credit Agricole SA Ordinary EUR 3.0 </t>
  </si>
  <si>
    <t xml:space="preserve">Daimler AG Ordinary EUR </t>
  </si>
  <si>
    <t xml:space="preserve">Danone SA Ordinary EUR 0.25 </t>
  </si>
  <si>
    <t xml:space="preserve">Dassault Systemes SE Ordinary EUR 0.5 </t>
  </si>
  <si>
    <t xml:space="preserve">Davide Campari-Milano SpA Ordinary EUR 0.05 </t>
  </si>
  <si>
    <t xml:space="preserve">Delivery Hero SE Ordinary EUR </t>
  </si>
  <si>
    <t xml:space="preserve">Deutsche Bk AG Ordinary EUR </t>
  </si>
  <si>
    <t xml:space="preserve">Deutsche Boerse AG Ordinary EUR </t>
  </si>
  <si>
    <t xml:space="preserve">Deutsche Lufthansa AG Ordinary EUR </t>
  </si>
  <si>
    <t xml:space="preserve">Deutsche Post AG Ordinary EUR </t>
  </si>
  <si>
    <t xml:space="preserve">Deutsche Telekom AG Ordinary EUR </t>
  </si>
  <si>
    <t xml:space="preserve">Deutsche Wohnen SE Ordinary EUR </t>
  </si>
  <si>
    <t xml:space="preserve">E.ON SE Ordinary EUR </t>
  </si>
  <si>
    <t xml:space="preserve">EDP - Energias de Portugal SA Ordinary EUR 1.0 </t>
  </si>
  <si>
    <t xml:space="preserve">EXOR NV Ordinary EUR </t>
  </si>
  <si>
    <t xml:space="preserve">Edenred Ordinary EUR 2.0 </t>
  </si>
  <si>
    <t xml:space="preserve">Eiffage SA Ordinary EUR 4.0 </t>
  </si>
  <si>
    <t xml:space="preserve">Electricite de France SA Ordinary EUR 0.5 </t>
  </si>
  <si>
    <t xml:space="preserve">Elisa OYJ Ordinary EUR </t>
  </si>
  <si>
    <t xml:space="preserve">Enagas SA Ordinary EUR 1.5 </t>
  </si>
  <si>
    <t xml:space="preserve">Endesa SA Ordinary EUR 1.2 </t>
  </si>
  <si>
    <t xml:space="preserve">Enel SpA Ordinary EUR 1.0 </t>
  </si>
  <si>
    <t xml:space="preserve">Engie SA Ordinary EUR 1.0 </t>
  </si>
  <si>
    <t xml:space="preserve">Erste Group Bk AG Ordinary EUR </t>
  </si>
  <si>
    <t xml:space="preserve">Essilor Intl Cie Generale d'Op Ordinary EUR 0.18 </t>
  </si>
  <si>
    <t xml:space="preserve">Eurazeo SA Ordinary EUR </t>
  </si>
  <si>
    <t xml:space="preserve">Eurofins Scientific SE Ordinary EUR 0.1 </t>
  </si>
  <si>
    <t xml:space="preserve">Eutelsat Communications SA Ordinary EUR 1.0 </t>
  </si>
  <si>
    <t xml:space="preserve">Evonik Industries AG Ordinary EUR </t>
  </si>
  <si>
    <t xml:space="preserve">FUCHS PETROLUB SE Preference EUR </t>
  </si>
  <si>
    <t xml:space="preserve">Faurecia SA Ordinary EUR 7.0 </t>
  </si>
  <si>
    <t xml:space="preserve">Ferrari NV Ordinary EUR 0.01 </t>
  </si>
  <si>
    <t xml:space="preserve">Ferrovial SA Ordinary EUR 0.2 </t>
  </si>
  <si>
    <t xml:space="preserve">Fiat Chrysler Automobiles NV Ordinary EUR 0.01 </t>
  </si>
  <si>
    <t xml:space="preserve">Fortum OYJ Ordinary EUR 3.4 </t>
  </si>
  <si>
    <t xml:space="preserve">Fraport AG Frankfurt Airport S Ordinary EUR </t>
  </si>
  <si>
    <t xml:space="preserve">Fresenius Medical Care AG &amp; Co Ordinary EUR </t>
  </si>
  <si>
    <t xml:space="preserve">Fresenius SE &amp; Co KGaA Ordinary EUR </t>
  </si>
  <si>
    <t xml:space="preserve">GEA Group AG Ordinary EUR </t>
  </si>
  <si>
    <t xml:space="preserve">Galp Energia SGPS SA Ordinary EUR 1.0 </t>
  </si>
  <si>
    <t xml:space="preserve">Gecina SA REIT EUR </t>
  </si>
  <si>
    <t xml:space="preserve">Getlink Ordinary EUR 0.4 </t>
  </si>
  <si>
    <t xml:space="preserve">Grifols SA Ordinary EUR 0.25 </t>
  </si>
  <si>
    <t xml:space="preserve">Groupe Bruxelles Lambert SA Ordinary EUR </t>
  </si>
  <si>
    <t xml:space="preserve">HOCHTIEF AG Ordinary EUR </t>
  </si>
  <si>
    <t xml:space="preserve">HUGO BOSS AG Ordinary EUR </t>
  </si>
  <si>
    <t xml:space="preserve">Hannover Rueck SE Ordinary EUR </t>
  </si>
  <si>
    <t xml:space="preserve">HeidelbergCement AG Ordinary EUR </t>
  </si>
  <si>
    <t xml:space="preserve">Heineken Holding NV Ordinary EUR 1.6 </t>
  </si>
  <si>
    <t xml:space="preserve">Heineken NV Ordinary EUR 1.6 </t>
  </si>
  <si>
    <t xml:space="preserve">Henkel AG &amp; Co KGaA Ordinary EUR </t>
  </si>
  <si>
    <t xml:space="preserve">Henkel AG &amp; Co KGaA Preference EUR </t>
  </si>
  <si>
    <t xml:space="preserve">Hermes Intl Ordinary EUR </t>
  </si>
  <si>
    <t xml:space="preserve">ICADE REIT EUR </t>
  </si>
  <si>
    <t xml:space="preserve">ING Groep NV Ordinary EUR 0.01 </t>
  </si>
  <si>
    <t xml:space="preserve">Iberdrola SA Ordinary EUR </t>
  </si>
  <si>
    <t xml:space="preserve">Iberdrola SA Ordinary EUR 0.75 </t>
  </si>
  <si>
    <t xml:space="preserve">Iliad SA Ordinary EUR </t>
  </si>
  <si>
    <t xml:space="preserve">Imerys SA Ordinary EUR 2.0 </t>
  </si>
  <si>
    <t xml:space="preserve">Industria de Diseno Textil SA Ordinary EUR 0.03 </t>
  </si>
  <si>
    <t xml:space="preserve">Infineon Technologies AG Ordinary EUR </t>
  </si>
  <si>
    <t xml:space="preserve">Ingenico Group SA Ordinary EUR 1.0 </t>
  </si>
  <si>
    <t xml:space="preserve">Innogy SE Ordinary EUR </t>
  </si>
  <si>
    <t xml:space="preserve">Intesa Sanpaolo SpA Ordinary EUR 0.52 </t>
  </si>
  <si>
    <t xml:space="preserve">Intesa Sanpaolo SpA Savings Share EUR </t>
  </si>
  <si>
    <t xml:space="preserve">Intl Consolidated Airlines Gro Ordinary EUR 0.5 </t>
  </si>
  <si>
    <t xml:space="preserve">Ipsen SA Ordinary EUR 1.0 </t>
  </si>
  <si>
    <t xml:space="preserve">Irish Bk Resolution Corp Ltd/O Ordinary EUR 0.16 </t>
  </si>
  <si>
    <t xml:space="preserve">JCDecaux SA Ordinary EUR </t>
  </si>
  <si>
    <t xml:space="preserve">Jeronimo Martins SGPS SA Ordinary EUR 1.0 </t>
  </si>
  <si>
    <t xml:space="preserve">K+S AG Ordinary EUR </t>
  </si>
  <si>
    <t xml:space="preserve">KBC Group NV Ordinary EUR </t>
  </si>
  <si>
    <t xml:space="preserve">KION Group AG Ordinary EUR </t>
  </si>
  <si>
    <t xml:space="preserve">Kering SA Ordinary EUR 4.0 </t>
  </si>
  <si>
    <t xml:space="preserve">Kerry Group PLC Ordinary EUR 0.125 </t>
  </si>
  <si>
    <t xml:space="preserve">Klepierre SA REIT EUR </t>
  </si>
  <si>
    <t xml:space="preserve">Kone OYJ Ordinary EUR </t>
  </si>
  <si>
    <t xml:space="preserve">Koninklijke Ahold Delhaize NV Ordinary EUR 0.01 </t>
  </si>
  <si>
    <t xml:space="preserve">Koninklijke DSM NV Ordinary EUR 1.5 </t>
  </si>
  <si>
    <t xml:space="preserve">Koninklijke KPN NV Ordinary EUR 0.04 </t>
  </si>
  <si>
    <t xml:space="preserve">Koninklijke Philips NV Ordinary EUR 0.2 </t>
  </si>
  <si>
    <t xml:space="preserve">Koninklijke Vopak NV Ordinary EUR 0.5 </t>
  </si>
  <si>
    <t xml:space="preserve">L'Oreal SA Ordinary EUR 0.2 </t>
  </si>
  <si>
    <t xml:space="preserve">LANXESS AG Ordinary EUR </t>
  </si>
  <si>
    <t xml:space="preserve">LVMH Moet Hennessy Louis Vuitt Ordinary EUR 0.3 </t>
  </si>
  <si>
    <t xml:space="preserve">Legrand SA Ordinary EUR 4.0 </t>
  </si>
  <si>
    <t xml:space="preserve">Leonardo SpA Ordinary EUR 4.4 </t>
  </si>
  <si>
    <t xml:space="preserve">Linde AG Ordinary EUR </t>
  </si>
  <si>
    <t xml:space="preserve">Luxottica Group SpA Ordinary EUR 0.06 </t>
  </si>
  <si>
    <t xml:space="preserve">MAN SE Ordinary EUR </t>
  </si>
  <si>
    <t xml:space="preserve">METRO AG Ordinary EUR </t>
  </si>
  <si>
    <t xml:space="preserve">MTU Aero Engines AG Ordinary EUR </t>
  </si>
  <si>
    <t xml:space="preserve">Mapfre SA Ordinary EUR 0.1 </t>
  </si>
  <si>
    <t xml:space="preserve">Mediobanca Banca di Credito Fi Ordinary EUR 0.5 </t>
  </si>
  <si>
    <t xml:space="preserve">Merck KGaA Ordinary EUR </t>
  </si>
  <si>
    <t xml:space="preserve">Metso OYJ Ordinary EUR </t>
  </si>
  <si>
    <t xml:space="preserve">Moncler SpA Ordinary EUR </t>
  </si>
  <si>
    <t xml:space="preserve">Muenchener Rueckversicherungs- Ordinary EUR </t>
  </si>
  <si>
    <t xml:space="preserve">NN Group NV Ordinary EUR </t>
  </si>
  <si>
    <t xml:space="preserve">Natixis SA Ordinary EUR 11.2 </t>
  </si>
  <si>
    <t xml:space="preserve">Naturgy Energy Group SA Ordinary EUR 1.0 </t>
  </si>
  <si>
    <t xml:space="preserve">Neste Oyj Ordinary EUR </t>
  </si>
  <si>
    <t xml:space="preserve">Nokia OYJ Ordinary EUR </t>
  </si>
  <si>
    <t xml:space="preserve">Nokian Renkaat OYJ Ordinary EUR </t>
  </si>
  <si>
    <t xml:space="preserve">OMV AG Ordinary EUR </t>
  </si>
  <si>
    <t xml:space="preserve">OSRAM Licht AG Ordinary EUR </t>
  </si>
  <si>
    <t xml:space="preserve">Orange SA Ordinary EUR 4.0 </t>
  </si>
  <si>
    <t xml:space="preserve">Orion Oyj Ordinary EUR 0.65 CL B </t>
  </si>
  <si>
    <t xml:space="preserve">Paddy Power Betfair PLC Ordinary EUR 0.09 </t>
  </si>
  <si>
    <t xml:space="preserve">Pernod Ricard SA Ordinary EUR 1.55 </t>
  </si>
  <si>
    <t xml:space="preserve">Peugeot SA Ordinary EUR 1.0 </t>
  </si>
  <si>
    <t xml:space="preserve">Pirelli &amp; C SpA Ordinary EUR </t>
  </si>
  <si>
    <t xml:space="preserve">Poste Italiane SpA Ordinary EUR </t>
  </si>
  <si>
    <t xml:space="preserve">ProSiebenSat.1 Media SE Ordinary EUR </t>
  </si>
  <si>
    <t xml:space="preserve">Proximus SADP Ordinary EUR </t>
  </si>
  <si>
    <t xml:space="preserve">Prysmian SpA Ordinary EUR 0.1 </t>
  </si>
  <si>
    <t xml:space="preserve">Pubis Groupe SA Ordinary EUR 0.4 </t>
  </si>
  <si>
    <t xml:space="preserve">QIAGEN NV Ordinary EUR 0.01 </t>
  </si>
  <si>
    <t xml:space="preserve">RELX NV Ordinary EUR 0.07 </t>
  </si>
  <si>
    <t xml:space="preserve">RTL Group SA Ordinary EUR </t>
  </si>
  <si>
    <t xml:space="preserve">RWE AG Ordinary EUR </t>
  </si>
  <si>
    <t xml:space="preserve">Raiffeisen Bk Intl AG Ordinary EUR </t>
  </si>
  <si>
    <t xml:space="preserve">Randstad NV Ordinary EUR 0.1 </t>
  </si>
  <si>
    <t xml:space="preserve">Recordati SpA Ordinary EUR 0.125 </t>
  </si>
  <si>
    <t xml:space="preserve">Red Electrica Corp SA Ordinary EUR 0.5 </t>
  </si>
  <si>
    <t xml:space="preserve">Remy Cointreau SA Ordinary EUR 1.6 </t>
  </si>
  <si>
    <t xml:space="preserve">Renault SA Ordinary EUR 3.81 </t>
  </si>
  <si>
    <t xml:space="preserve">Repsol SA Ordinary EUR 1.0 </t>
  </si>
  <si>
    <t xml:space="preserve">Rexel SA Ordinary EUR 5.0 </t>
  </si>
  <si>
    <t xml:space="preserve">Ryanair Holdings PLC Ordinary EUR 0.006 </t>
  </si>
  <si>
    <t xml:space="preserve">SAP SE Ordinary EUR </t>
  </si>
  <si>
    <t xml:space="preserve">SCOR SE Ordinary EUR 7.876972 </t>
  </si>
  <si>
    <t xml:space="preserve">SEB SA Ordinary EUR 1.0 </t>
  </si>
  <si>
    <t xml:space="preserve">SES SA Receipt EUR </t>
  </si>
  <si>
    <t xml:space="preserve">STMicroelectronics NV Ordinary EUR 1.04 </t>
  </si>
  <si>
    <t xml:space="preserve">Sampo Oyj Ordinary EUR </t>
  </si>
  <si>
    <t xml:space="preserve">Sanofi Ordinary EUR 2.0 </t>
  </si>
  <si>
    <t xml:space="preserve">Sartorius AG Preference EUR </t>
  </si>
  <si>
    <t xml:space="preserve">Schaeffler AG Preference EUR </t>
  </si>
  <si>
    <t xml:space="preserve">Schneider Electric SE Ordinary EUR 4.0 </t>
  </si>
  <si>
    <t xml:space="preserve">Siemens AG Ordinary EUR </t>
  </si>
  <si>
    <t xml:space="preserve">Siemens Gamesa Renewable Energ Ordinary EUR 0.17 </t>
  </si>
  <si>
    <t xml:space="preserve">Siemens Healthineers AG Ordinary EUR </t>
  </si>
  <si>
    <t xml:space="preserve">Smurfit Kappa Group PLC Ordinary EUR 0.001 </t>
  </si>
  <si>
    <t xml:space="preserve">Snam SpA Ordinary EUR </t>
  </si>
  <si>
    <t xml:space="preserve">Societe BIC SA Ordinary EUR 3.82 </t>
  </si>
  <si>
    <t xml:space="preserve">Societe Generale SA Ordinary EUR 1.25 </t>
  </si>
  <si>
    <t xml:space="preserve">Sodexo SA Ordinary EUR 4.0 </t>
  </si>
  <si>
    <t xml:space="preserve">Solvay SA Ordinary EUR 15.0 </t>
  </si>
  <si>
    <t xml:space="preserve">Stora Enso OYJ Ordinary EUR </t>
  </si>
  <si>
    <t xml:space="preserve">Suez Ordinary EUR 4.0 </t>
  </si>
  <si>
    <t xml:space="preserve">Symrise AG Ordinary EUR </t>
  </si>
  <si>
    <t xml:space="preserve">TOTAL SA Ordinary EUR 2.5 </t>
  </si>
  <si>
    <t xml:space="preserve">Telecom Italia SpA/Milano Ordinary EUR </t>
  </si>
  <si>
    <t xml:space="preserve">Telecom Italia SpA/Milano Savings Share EUR </t>
  </si>
  <si>
    <t xml:space="preserve">Telefonica Deutschland Holding Ordinary EUR </t>
  </si>
  <si>
    <t xml:space="preserve">Telefonica SA Ordinary EUR 1.0 </t>
  </si>
  <si>
    <t xml:space="preserve">Telenet Group Holding NV Ordinary EUR </t>
  </si>
  <si>
    <t xml:space="preserve">Teleperformance Ordinary EUR 2.5 </t>
  </si>
  <si>
    <t xml:space="preserve">Tenaris SA Ordinary EUR 1.0 </t>
  </si>
  <si>
    <t xml:space="preserve">Terna Rete Elettrica Nazionale Ordinary EUR 0.22 </t>
  </si>
  <si>
    <t xml:space="preserve">UCB SA Ordinary EUR </t>
  </si>
  <si>
    <t xml:space="preserve">UPM-Kymmene OYJ Ordinary EUR </t>
  </si>
  <si>
    <t xml:space="preserve">Ubisoft Entertainment SA Ordinary EUR 0.0775 </t>
  </si>
  <si>
    <t xml:space="preserve">Umicore SA Ordinary EUR </t>
  </si>
  <si>
    <t xml:space="preserve">UniCredit SpA Ordinary EUR </t>
  </si>
  <si>
    <t xml:space="preserve">Unibail-Rodamco-Westfield Stapled Security EUR </t>
  </si>
  <si>
    <t xml:space="preserve">Unilever NV Dutch Cert EUR </t>
  </si>
  <si>
    <t xml:space="preserve">Uniper SE Ordinary EUR </t>
  </si>
  <si>
    <t xml:space="preserve">Utd Internet AG Ordinary EUR </t>
  </si>
  <si>
    <t xml:space="preserve">Valeo SA Ordinary EUR 1.0 </t>
  </si>
  <si>
    <t xml:space="preserve">Veolia Environnement SA Ordinary EUR 5.0 </t>
  </si>
  <si>
    <t xml:space="preserve">Vinci SA Ordinary EUR 2.5 </t>
  </si>
  <si>
    <t xml:space="preserve">Vivendi SA Ordinary EUR 5.5 </t>
  </si>
  <si>
    <t xml:space="preserve">Vonovia SE Ordinary EUR </t>
  </si>
  <si>
    <t xml:space="preserve">Wartsila OYJ Abp Ordinary EUR </t>
  </si>
  <si>
    <t xml:space="preserve">Wendel SA Ordinary EUR 4.0 </t>
  </si>
  <si>
    <t xml:space="preserve">Wirecard AG Ordinary EUR </t>
  </si>
  <si>
    <t xml:space="preserve">Wolters Kluwer NV Ordinary EUR 0.12 </t>
  </si>
  <si>
    <t xml:space="preserve">Zalando SE Ordinary EUR </t>
  </si>
  <si>
    <t xml:space="preserve">adidas AG Ordinary EUR </t>
  </si>
  <si>
    <t xml:space="preserve">thyssenkrupp AG Ordinary EUR </t>
  </si>
  <si>
    <t xml:space="preserve">voestalpine AG Ordinary EUR </t>
  </si>
  <si>
    <t>Derivative</t>
  </si>
  <si>
    <t xml:space="preserve">Eurex EURO STOXX 50 Future Sep 2018 </t>
  </si>
  <si>
    <t xml:space="preserve">3i Group PLC Ordinary GBP 73.8636 </t>
  </si>
  <si>
    <t>GBP</t>
  </si>
  <si>
    <t xml:space="preserve">Admiral Group PLC Ordinary GBP 0.1 </t>
  </si>
  <si>
    <t xml:space="preserve">Anglo American PLC Ordinary GBP 0.54945 </t>
  </si>
  <si>
    <t xml:space="preserve">Antofagasta PLC Ordinary GBP 5.0 </t>
  </si>
  <si>
    <t xml:space="preserve">Ashtead Group PLC Ordinary GBP 10.0 </t>
  </si>
  <si>
    <t xml:space="preserve">Associated Brit Foods PLC Ordinary GBP 5.68 </t>
  </si>
  <si>
    <t xml:space="preserve">AstraZeneca PLC Ordinary GBP 0.25 </t>
  </si>
  <si>
    <t xml:space="preserve">Auto Trader Group PLC Ordinary GBP 1.0 </t>
  </si>
  <si>
    <t xml:space="preserve">Aviva PLC Ordinary GBP 25.0 </t>
  </si>
  <si>
    <t xml:space="preserve">BP PLC Ordinary GBP 0.25 </t>
  </si>
  <si>
    <t xml:space="preserve">BT Group PLC Ordinary GBP 5.0 </t>
  </si>
  <si>
    <t xml:space="preserve">Barclays PLC Ordinary GBP 25.0 </t>
  </si>
  <si>
    <t xml:space="preserve">Barratt Developments PLC Ordinary GBP 10.0 </t>
  </si>
  <si>
    <t xml:space="preserve">Berkeley Group Holdings PLC Ordinary GBP </t>
  </si>
  <si>
    <t xml:space="preserve">Brit American Tobacco PLC Ordinary GBP 25.0 </t>
  </si>
  <si>
    <t xml:space="preserve">Brit Land Co PLC/The REIT GBP </t>
  </si>
  <si>
    <t xml:space="preserve">Bunzl PLC Ordinary GBP 32.14286 </t>
  </si>
  <si>
    <t xml:space="preserve">Burberry Group PLC Ordinary GBP 0.05 </t>
  </si>
  <si>
    <t xml:space="preserve">Carnival PLC Ordinary GBP 1.66 </t>
  </si>
  <si>
    <t xml:space="preserve">Centrica PLC Ordinary GBP 6.1728 </t>
  </si>
  <si>
    <t xml:space="preserve">Coca-Cola HBC AG Ordinary GBP 6.7 </t>
  </si>
  <si>
    <t xml:space="preserve">Compass Group PLC Ordinary GBP 11.05 </t>
  </si>
  <si>
    <t xml:space="preserve">ConvaTec Group PLC Ordinary GBP </t>
  </si>
  <si>
    <t xml:space="preserve">Croda Intl PLC Ordinary GBP 10.35714 </t>
  </si>
  <si>
    <t xml:space="preserve">DCC PLC Ordinary GBP 0.25 </t>
  </si>
  <si>
    <t xml:space="preserve">Diageo PLC Ordinary GBP 28.93518 </t>
  </si>
  <si>
    <t xml:space="preserve">Direct Line Insurance Group PL Ordinary GBP 10.90909 </t>
  </si>
  <si>
    <t xml:space="preserve">Experian PLC Ordinary GBP 0.1 </t>
  </si>
  <si>
    <t xml:space="preserve">Ferguson PLC Ordinary GBP 11.4032 </t>
  </si>
  <si>
    <t xml:space="preserve">Fresnillo PLC Ordinary GBP 0.5 </t>
  </si>
  <si>
    <t xml:space="preserve">GVC Holdings PLC Ordinary GBP 0.01 </t>
  </si>
  <si>
    <t xml:space="preserve">GlaxoSmithKline PLC Ordinary GBP 25.0 </t>
  </si>
  <si>
    <t xml:space="preserve">Glencore PLC Ordinary GBP 0.01 </t>
  </si>
  <si>
    <t xml:space="preserve">HSBC Holdings PLC Ordinary GBP 0.5 </t>
  </si>
  <si>
    <t xml:space="preserve">Hammerson PLC REIT GBP </t>
  </si>
  <si>
    <t xml:space="preserve">Hargreaves Lansdown PLC Ordinary GBP 0.4 </t>
  </si>
  <si>
    <t xml:space="preserve">ITV PLC Ordinary GBP 10.0 </t>
  </si>
  <si>
    <t xml:space="preserve">Imperial Brands PLC Ordinary GBP 10.0 </t>
  </si>
  <si>
    <t xml:space="preserve">InterContinental Hotels Group Ordinary GBP 19.80952 </t>
  </si>
  <si>
    <t xml:space="preserve">Intertek Group PLC Ordinary GBP 1.0 </t>
  </si>
  <si>
    <t xml:space="preserve">Investec PLC Ordinary GBP 0.02 </t>
  </si>
  <si>
    <t xml:space="preserve">J Sainsbury PLC Ordinary GBP 28.5714 </t>
  </si>
  <si>
    <t xml:space="preserve">John Wood Group PLC Ordinary GBP 4.2857 </t>
  </si>
  <si>
    <t xml:space="preserve">Johnson Matthey PLC Ordinary GBP 110.9245 </t>
  </si>
  <si>
    <t xml:space="preserve">Kingfisher PLC Ordinary GBP 15.7143 </t>
  </si>
  <si>
    <t xml:space="preserve">Land Secs Group PLC REIT GBP </t>
  </si>
  <si>
    <t xml:space="preserve">Legal &amp; General Group PLC Ordinary GBP 2.5 </t>
  </si>
  <si>
    <t xml:space="preserve">Lloyds Bking Group PLC Ordinary GBP 10.0 </t>
  </si>
  <si>
    <t xml:space="preserve">London Stock Exch Group PLC Ordinary GBP 6.918605 </t>
  </si>
  <si>
    <t xml:space="preserve">Marks &amp; Spencer Group PLC Ordinary GBP 25.0 </t>
  </si>
  <si>
    <t xml:space="preserve">Mediclinic Intl PLC Ordinary GBP 10.0 </t>
  </si>
  <si>
    <t xml:space="preserve">Meggitt PLC Ordinary GBP 5.0 </t>
  </si>
  <si>
    <t xml:space="preserve">Melrose Industries PLC Ordinary GBP 6.857143 </t>
  </si>
  <si>
    <t xml:space="preserve">Merlin Entertainments PLC Ordinary GBP 1.0 </t>
  </si>
  <si>
    <t xml:space="preserve">Micro Focus Intl PLC Ordinary GBP 10.0 </t>
  </si>
  <si>
    <t xml:space="preserve">Mondi PLC Ordinary GBP 0.2 </t>
  </si>
  <si>
    <t xml:space="preserve">National Grid PLC Ordinary GBP 12.43129 </t>
  </si>
  <si>
    <t xml:space="preserve">Next PLC Ordinary GBP 10.0 </t>
  </si>
  <si>
    <t xml:space="preserve">Pearson PLC Ordinary GBP 25.0 </t>
  </si>
  <si>
    <t xml:space="preserve">Persimmon PLC Ordinary GBP 10.0 </t>
  </si>
  <si>
    <t xml:space="preserve">Prudential PLC Ordinary GBP 5.0 </t>
  </si>
  <si>
    <t xml:space="preserve">RELX PLC Ordinary GBP 14.4397 </t>
  </si>
  <si>
    <t xml:space="preserve">RSA Insurance Group PLC Ordinary GBP 1.0 </t>
  </si>
  <si>
    <t xml:space="preserve">Randgold Resources Ltd Ordinary GBP 0.05 </t>
  </si>
  <si>
    <t xml:space="preserve">Reckitt Benckiser Group PLC Ordinary GBP 10.0 </t>
  </si>
  <si>
    <t xml:space="preserve">Rio Tinto PLC Ordinary GBP 10.0 </t>
  </si>
  <si>
    <t xml:space="preserve">Rolls-Royce Holdings PLC Ordinary GBP 20.0 </t>
  </si>
  <si>
    <t xml:space="preserve">Royal Bk of Scotland Group PLC Ordinary GBP 100.0 </t>
  </si>
  <si>
    <t xml:space="preserve">Royal Mail PLC Ordinary GBP 1.0 </t>
  </si>
  <si>
    <t xml:space="preserve">SSE PLC Ordinary GBP 50.0 </t>
  </si>
  <si>
    <t xml:space="preserve">Sage Group PLC/The Ordinary GBP 1.051948 </t>
  </si>
  <si>
    <t xml:space="preserve">Schroders PLC Ordinary GBP 100.0 </t>
  </si>
  <si>
    <t xml:space="preserve">Segro PLC REIT GBP </t>
  </si>
  <si>
    <t xml:space="preserve">Severn Trent PLC Ordinary GBP 97.89 </t>
  </si>
  <si>
    <t xml:space="preserve">Shire PLC Ordinary GBP 5.0 </t>
  </si>
  <si>
    <t xml:space="preserve">Sky PLC Ordinary GBP 50.0 </t>
  </si>
  <si>
    <t xml:space="preserve">Smith &amp; Nephew PLC Ordinary GBP 0.2 </t>
  </si>
  <si>
    <t xml:space="preserve">Smiths Group PLC Ordinary GBP 37.5 </t>
  </si>
  <si>
    <t xml:space="preserve">South32 Ltd Ordinary GBP </t>
  </si>
  <si>
    <t xml:space="preserve">St James's Place PLC Ordinary GBP 15.0 </t>
  </si>
  <si>
    <t xml:space="preserve">Standard Chartered PLC Ordinary GBP 0.5 </t>
  </si>
  <si>
    <t xml:space="preserve">Standard Life Aberdeen PLC Ordinary GBP 12.2222 </t>
  </si>
  <si>
    <t xml:space="preserve">TUI AG Ordinary GBP </t>
  </si>
  <si>
    <t xml:space="preserve">Taylor Wimpey PLC Ordinary GBP 1.0 </t>
  </si>
  <si>
    <t xml:space="preserve">Tesco PLC Ordinary GBP 5.0 </t>
  </si>
  <si>
    <t xml:space="preserve">Travis Perkins PLC Ordinary GBP 10.0 </t>
  </si>
  <si>
    <t xml:space="preserve">Unilever PLC Ordinary GBP 3.11 </t>
  </si>
  <si>
    <t xml:space="preserve">Utd Utilities Group PLC Ordinary GBP 5.0 </t>
  </si>
  <si>
    <t xml:space="preserve">Vodafone Group PLC Ordinary GBP 0.2095 </t>
  </si>
  <si>
    <t xml:space="preserve">WPP PLC Ordinary GBP 10.0 </t>
  </si>
  <si>
    <t xml:space="preserve">Weir Group PLC/The Ordinary GBP 12.5 </t>
  </si>
  <si>
    <t xml:space="preserve">Whitbread PLC Ordinary GBP 76.7974 </t>
  </si>
  <si>
    <t xml:space="preserve">Wm Morrison Supermarkets PLC Ordinary GBP 10.0 </t>
  </si>
  <si>
    <t xml:space="preserve">easyJet PLC Ordinary GBP 27.28571 </t>
  </si>
  <si>
    <t xml:space="preserve">                                                                     </t>
  </si>
  <si>
    <t xml:space="preserve">AIA Group Ltd Ordinary HKD </t>
  </si>
  <si>
    <t>HKD</t>
  </si>
  <si>
    <t xml:space="preserve">ASM Pacific Technology Ltd Ordinary HKD 0.1 </t>
  </si>
  <si>
    <t xml:space="preserve">BOC Hong Kong Holdings Ltd Ordinary HKD </t>
  </si>
  <si>
    <t xml:space="preserve">Bk of East Asia Ltd/The Ordinary HKD </t>
  </si>
  <si>
    <t xml:space="preserve">CK Asset Holdings Ltd Ordinary HKD 1.0 </t>
  </si>
  <si>
    <t xml:space="preserve">CK Hutchison Holdings Ltd Ordinary HKD 1.0 </t>
  </si>
  <si>
    <t xml:space="preserve">CK Infrastructure Holdings Ltd Ordinary HKD 1.0 </t>
  </si>
  <si>
    <t xml:space="preserve">CLP Holdings Ltd Ordinary HKD </t>
  </si>
  <si>
    <t xml:space="preserve">Galaxy Entertainment Group Ltd Ordinary HKD </t>
  </si>
  <si>
    <t xml:space="preserve">HK Electric Investments &amp; HK E Stapled Security HKD </t>
  </si>
  <si>
    <t xml:space="preserve">HKT Tst and HKT Ltd Misc HKD </t>
  </si>
  <si>
    <t xml:space="preserve">Hang Lung Group Ltd Ordinary HKD </t>
  </si>
  <si>
    <t xml:space="preserve">Hang Lung Properties Ltd Ordinary HKD </t>
  </si>
  <si>
    <t xml:space="preserve">Hang Seng Bk Ltd Ordinary HKD </t>
  </si>
  <si>
    <t xml:space="preserve">Henderson Land Development Co Ordinary HKD </t>
  </si>
  <si>
    <t xml:space="preserve">Hong Kong &amp; China Gas Co Ltd Ordinary HKD </t>
  </si>
  <si>
    <t xml:space="preserve">Hong Kong Exchs &amp; Clearing Ltd Ordinary HKD </t>
  </si>
  <si>
    <t xml:space="preserve">Hysan Development Co Ltd Ordinary HKD </t>
  </si>
  <si>
    <t xml:space="preserve">Kerry Properties Ltd Ordinary HKD 1.0 </t>
  </si>
  <si>
    <t xml:space="preserve">Li &amp; Fung Ltd Ordinary HKD 0.0125 </t>
  </si>
  <si>
    <t xml:space="preserve">Link REIT REIT HKD </t>
  </si>
  <si>
    <t xml:space="preserve">MGM China Holdings Ltd Ordinary HKD 1.0 </t>
  </si>
  <si>
    <t xml:space="preserve">MTR Corp Ltd Ordinary HKD </t>
  </si>
  <si>
    <t xml:space="preserve">NWS Holdings Ltd Ordinary HKD 1.0 </t>
  </si>
  <si>
    <t xml:space="preserve">New World Development Co Ltd Ordinary HKD </t>
  </si>
  <si>
    <t xml:space="preserve">PCCW Ltd Ordinary HKD </t>
  </si>
  <si>
    <t xml:space="preserve">Power Assets Holdings Ltd Ordinary HKD </t>
  </si>
  <si>
    <t xml:space="preserve">SJM Holdings Ltd Ordinary HKD </t>
  </si>
  <si>
    <t xml:space="preserve">Sands China Ltd Ordinary HKD 0.01 </t>
  </si>
  <si>
    <t xml:space="preserve">Shangri-La Asia Ltd Ordinary HKD 1.0 </t>
  </si>
  <si>
    <t xml:space="preserve">Sino Land Co Ltd Ordinary HKD </t>
  </si>
  <si>
    <t xml:space="preserve">Sun Hung Kai Properties Ltd Ordinary HKD </t>
  </si>
  <si>
    <t xml:space="preserve">Swire Pacific Ltd Ordinary HKD 0.6 CL A </t>
  </si>
  <si>
    <t xml:space="preserve">Swire Properties Ltd Ordinary HKD 1.0 </t>
  </si>
  <si>
    <t xml:space="preserve">Techtronic Industries Co Ltd Ordinary HKD </t>
  </si>
  <si>
    <t xml:space="preserve">WH Group Ltd Ordinary HKD 0.0001 </t>
  </si>
  <si>
    <t xml:space="preserve">Wharf Holdings Ltd/The Ordinary HKD </t>
  </si>
  <si>
    <t xml:space="preserve">Wharf Real Estate Investment C Ordinary HKD </t>
  </si>
  <si>
    <t xml:space="preserve">Wheelock &amp; Co Ltd Ordinary HKD 0.5 </t>
  </si>
  <si>
    <t xml:space="preserve">Wynn Macau Ltd Ordinary HKD 0.001 </t>
  </si>
  <si>
    <t xml:space="preserve">Yue Yuen Industrial Holdings L Ordinary HKD 0.25 </t>
  </si>
  <si>
    <t xml:space="preserve">Azrieli Group Ltd Ordinary ILS 0.1 </t>
  </si>
  <si>
    <t>ILS</t>
  </si>
  <si>
    <t xml:space="preserve">Bezeq The Israeli Telecommunic Ordinary ILS 1.0 </t>
  </si>
  <si>
    <t xml:space="preserve">Bk Hapoalim BM Ordinary ILS 1.0 </t>
  </si>
  <si>
    <t xml:space="preserve">Bk Leumi Le-Israel BM Ordinary ILS 0.1 </t>
  </si>
  <si>
    <t xml:space="preserve">Elbit Systems Ltd Ordinary ILS 1.0 </t>
  </si>
  <si>
    <t xml:space="preserve">Frutarom Industries Ltd Ordinary ILS 1.0 </t>
  </si>
  <si>
    <t xml:space="preserve">Israel Chemicals Ltd Ordinary ILS 1.0 </t>
  </si>
  <si>
    <t xml:space="preserve">Mizrahi Tefahot Bk Ltd Ordinary ILS 0.1 </t>
  </si>
  <si>
    <t xml:space="preserve">Nice Ltd Ordinary ILS 1.0 </t>
  </si>
  <si>
    <t xml:space="preserve">Teva Pharmaceutical Industries Ordinary ILS 0.1 </t>
  </si>
  <si>
    <t xml:space="preserve">                                                                                          </t>
  </si>
  <si>
    <t xml:space="preserve">AEON Financial Service Co Ltd Ordinary JPY </t>
  </si>
  <si>
    <t>JPY</t>
  </si>
  <si>
    <t xml:space="preserve">AGC Inc/Japan Ordinary JPY </t>
  </si>
  <si>
    <t xml:space="preserve">ANA Holdings Inc Ordinary JPY </t>
  </si>
  <si>
    <t xml:space="preserve">Aeon Co Ltd Ordinary JPY </t>
  </si>
  <si>
    <t xml:space="preserve">Aeon Mall Co Ltd Ordinary JPY </t>
  </si>
  <si>
    <t xml:space="preserve">Air Water Inc Ordinary JPY </t>
  </si>
  <si>
    <t xml:space="preserve">Aisin Seiki Co Ltd Ordinary JPY </t>
  </si>
  <si>
    <t xml:space="preserve">Ajinomoto Co Inc Ordinary JPY </t>
  </si>
  <si>
    <t xml:space="preserve">Alfresa Holdings Corp Ordinary JPY </t>
  </si>
  <si>
    <t xml:space="preserve">Alps Electric Co Ltd Ordinary JPY </t>
  </si>
  <si>
    <t xml:space="preserve">Amada Holdings Co Ltd Ordinary JPY </t>
  </si>
  <si>
    <t xml:space="preserve">Aozora Bk Ltd Ordinary JPY </t>
  </si>
  <si>
    <t xml:space="preserve">Asahi Group Holdings Ltd Ordinary JPY </t>
  </si>
  <si>
    <t xml:space="preserve">Asahi Kasei Corp Ordinary JPY </t>
  </si>
  <si>
    <t xml:space="preserve">Asics Corp Ordinary JPY </t>
  </si>
  <si>
    <t xml:space="preserve">Astellas Pharma Inc Ordinary JPY </t>
  </si>
  <si>
    <t xml:space="preserve">Bandai Namco Holdings Inc Ordinary JPY </t>
  </si>
  <si>
    <t xml:space="preserve">Benesse Holdings Inc Ordinary JPY </t>
  </si>
  <si>
    <t xml:space="preserve">Bk of Kyoto Ltd/The Ordinary JPY </t>
  </si>
  <si>
    <t xml:space="preserve">Bridgestone Corp Ordinary JPY </t>
  </si>
  <si>
    <t xml:space="preserve">Brother Industries Ltd Ordinary JPY </t>
  </si>
  <si>
    <t xml:space="preserve">CYBERDYNE Inc Ordinary JPY </t>
  </si>
  <si>
    <t xml:space="preserve">Calbee Inc Ordinary JPY </t>
  </si>
  <si>
    <t xml:space="preserve">Canon Inc Ordinary JPY </t>
  </si>
  <si>
    <t xml:space="preserve">Casio Computer Co Ltd Ordinary JPY </t>
  </si>
  <si>
    <t xml:space="preserve">Central Japan Railway Co Ordinary JPY </t>
  </si>
  <si>
    <t xml:space="preserve">Chiba Bk Ltd/The Ordinary JPY </t>
  </si>
  <si>
    <t xml:space="preserve">Chubu Electric Power Co Inc Ordinary JPY </t>
  </si>
  <si>
    <t xml:space="preserve">Chugai Pharmaceutical Co Ltd Ordinary JPY </t>
  </si>
  <si>
    <t xml:space="preserve">Chugoku Electric Power Co Inc/ Ordinary JPY </t>
  </si>
  <si>
    <t xml:space="preserve">Coca-Cola Bottlers Japan Holdi Ordinary JPY </t>
  </si>
  <si>
    <t xml:space="preserve">Concordia Financial Group Ltd Ordinary JPY </t>
  </si>
  <si>
    <t xml:space="preserve">Credit Saison Co Ltd Ordinary JPY </t>
  </si>
  <si>
    <t xml:space="preserve">CyberAgent Inc Ordinary JPY </t>
  </si>
  <si>
    <t xml:space="preserve">Dai Nippon Printing Co Ltd Ordinary JPY </t>
  </si>
  <si>
    <t xml:space="preserve">Dai-ichi Life Holdings Inc Ordinary JPY </t>
  </si>
  <si>
    <t xml:space="preserve">Daicel Corp Ordinary JPY </t>
  </si>
  <si>
    <t xml:space="preserve">Daifuku Co Ltd Ordinary JPY </t>
  </si>
  <si>
    <t xml:space="preserve">Daiichi Sankyo Co Ltd Ordinary JPY </t>
  </si>
  <si>
    <t xml:space="preserve">Daikin Industries Ltd Ordinary JPY </t>
  </si>
  <si>
    <t xml:space="preserve">Daito Tst Construction Co Ltd Ordinary JPY </t>
  </si>
  <si>
    <t xml:space="preserve">Daiwa House Industry Co Ltd Ordinary JPY </t>
  </si>
  <si>
    <t xml:space="preserve">Daiwa House REIT Investment Co REIT JPY </t>
  </si>
  <si>
    <t xml:space="preserve">Daiwa Secs Group Inc Ordinary JPY </t>
  </si>
  <si>
    <t xml:space="preserve">DeNA Co Ltd Ordinary JPY </t>
  </si>
  <si>
    <t xml:space="preserve">Denso Corp Ordinary JPY </t>
  </si>
  <si>
    <t xml:space="preserve">Dentsu Inc Ordinary JPY </t>
  </si>
  <si>
    <t xml:space="preserve">Disco Corp Ordinary JPY </t>
  </si>
  <si>
    <t xml:space="preserve">Don Quijote Holdings Co Ltd Ordinary JPY </t>
  </si>
  <si>
    <t xml:space="preserve">East Japan Railway Co Ordinary JPY </t>
  </si>
  <si>
    <t xml:space="preserve">Eisai Co Ltd Ordinary JPY </t>
  </si>
  <si>
    <t xml:space="preserve">Electric Power Development Co Ordinary JPY </t>
  </si>
  <si>
    <t xml:space="preserve">FANUC Corp Ordinary JPY </t>
  </si>
  <si>
    <t xml:space="preserve">FUJIFILM Holdings Corp Ordinary JPY </t>
  </si>
  <si>
    <t xml:space="preserve">FamilyMart UNY Holdings Co Ltd Ordinary JPY </t>
  </si>
  <si>
    <t xml:space="preserve">Fast Retailing Co Ltd Ordinary JPY </t>
  </si>
  <si>
    <t xml:space="preserve">Fuji Electric Co Ltd Ordinary JPY </t>
  </si>
  <si>
    <t xml:space="preserve">Fujitsu Ltd Ordinary JPY </t>
  </si>
  <si>
    <t xml:space="preserve">Fukuoka Financial Group Inc Ordinary JPY </t>
  </si>
  <si>
    <t xml:space="preserve">Hakuhodo DY Holdings Inc Ordinary JPY </t>
  </si>
  <si>
    <t xml:space="preserve">Hamamatsu Photonics KK Ordinary JPY </t>
  </si>
  <si>
    <t xml:space="preserve">Hankyu Hanshin Holdings Inc Ordinary JPY </t>
  </si>
  <si>
    <t xml:space="preserve">Hikari Tsushin Inc Ordinary JPY </t>
  </si>
  <si>
    <t xml:space="preserve">Hino Motors Ltd Ordinary JPY </t>
  </si>
  <si>
    <t xml:space="preserve">Hirose Electric Co Ltd Ordinary JPY </t>
  </si>
  <si>
    <t xml:space="preserve">Hisamitsu Pharmaceutical Co In Ordinary JPY </t>
  </si>
  <si>
    <t xml:space="preserve">Hitachi Chemical Co Ltd Ordinary JPY </t>
  </si>
  <si>
    <t xml:space="preserve">Hitachi Construction Machinery Ordinary JPY </t>
  </si>
  <si>
    <t xml:space="preserve">Hitachi High-Technologies Corp Ordinary JPY </t>
  </si>
  <si>
    <t xml:space="preserve">Hitachi Ltd Ordinary JPY </t>
  </si>
  <si>
    <t xml:space="preserve">Hitachi Metals Ltd Ordinary JPY </t>
  </si>
  <si>
    <t xml:space="preserve">Honda Motor Co Ltd Ordinary JPY </t>
  </si>
  <si>
    <t xml:space="preserve">Hoshizaki Corp Ordinary JPY </t>
  </si>
  <si>
    <t xml:space="preserve">Hoya Corp Ordinary JPY </t>
  </si>
  <si>
    <t xml:space="preserve">Hulic Co Ltd Ordinary JPY </t>
  </si>
  <si>
    <t xml:space="preserve">IHI Corp Ordinary JPY </t>
  </si>
  <si>
    <t xml:space="preserve">ITOCHU Corp Ordinary JPY </t>
  </si>
  <si>
    <t xml:space="preserve">Idemitsu Kosan Co Ltd Ordinary JPY </t>
  </si>
  <si>
    <t xml:space="preserve">Iida Group Holdings Co Ltd Ordinary JPY </t>
  </si>
  <si>
    <t xml:space="preserve">Inpex Corp Ordinary JPY </t>
  </si>
  <si>
    <t xml:space="preserve">Isetan Mitsukoshi Holdings Ltd Ordinary JPY </t>
  </si>
  <si>
    <t xml:space="preserve">Isuzu Motors Ltd Ordinary JPY </t>
  </si>
  <si>
    <t xml:space="preserve">J Front Retailing Co Ltd Ordinary JPY </t>
  </si>
  <si>
    <t xml:space="preserve">JFE Holdings Inc Ordinary JPY </t>
  </si>
  <si>
    <t xml:space="preserve">JGC Corp Ordinary JPY </t>
  </si>
  <si>
    <t xml:space="preserve">JSR Corp Ordinary JPY </t>
  </si>
  <si>
    <t xml:space="preserve">JTEKT Corp Ordinary JPY </t>
  </si>
  <si>
    <t xml:space="preserve">JXTG Holdings Inc Ordinary JPY </t>
  </si>
  <si>
    <t xml:space="preserve">Japan Airlines Co Ltd Ordinary JPY </t>
  </si>
  <si>
    <t xml:space="preserve">Japan Airport Terminal Co Ltd Ordinary JPY </t>
  </si>
  <si>
    <t xml:space="preserve">Japan Exch Group Inc Ordinary JPY </t>
  </si>
  <si>
    <t xml:space="preserve">Japan Post Bk Co Ltd Ordinary JPY </t>
  </si>
  <si>
    <t xml:space="preserve">Japan Post Holdings Co Ltd Ordinary JPY </t>
  </si>
  <si>
    <t xml:space="preserve">Japan Prime Realty Investment REIT JPY </t>
  </si>
  <si>
    <t xml:space="preserve">Japan Real Estate Investment C REIT JPY </t>
  </si>
  <si>
    <t xml:space="preserve">Japan Retail Fd Investment Cor REIT JPY </t>
  </si>
  <si>
    <t xml:space="preserve">Japan Tobacco Inc Ordinary JPY </t>
  </si>
  <si>
    <t xml:space="preserve">KDDI Corp Ordinary JPY </t>
  </si>
  <si>
    <t xml:space="preserve">Kajima Corp Ordinary JPY </t>
  </si>
  <si>
    <t xml:space="preserve">Kakaku.com Inc Ordinary JPY </t>
  </si>
  <si>
    <t xml:space="preserve">Kamigumi Co Ltd Ordinary JPY </t>
  </si>
  <si>
    <t xml:space="preserve">Kaneka Corp Ordinary JPY </t>
  </si>
  <si>
    <t xml:space="preserve">Kansai Electric Power Co Inc/T Ordinary JPY </t>
  </si>
  <si>
    <t xml:space="preserve">Kansai Paint Co Ltd Ordinary JPY </t>
  </si>
  <si>
    <t xml:space="preserve">Kao Corp Ordinary JPY </t>
  </si>
  <si>
    <t xml:space="preserve">Kawasaki Heavy Industries Ltd Ordinary JPY </t>
  </si>
  <si>
    <t xml:space="preserve">Keihan Holdings Co Ltd Ordinary JPY </t>
  </si>
  <si>
    <t xml:space="preserve">Keikyu Corp Ordinary JPY </t>
  </si>
  <si>
    <t xml:space="preserve">Keio Corp Ordinary JPY </t>
  </si>
  <si>
    <t xml:space="preserve">Keisei Electric Railway Co Ltd Ordinary JPY </t>
  </si>
  <si>
    <t xml:space="preserve">Keyence Corp Ordinary JPY </t>
  </si>
  <si>
    <t xml:space="preserve">Kikkoman Corp Ordinary JPY </t>
  </si>
  <si>
    <t xml:space="preserve">Kintetsu Group Holdings Co Ltd Ordinary JPY </t>
  </si>
  <si>
    <t xml:space="preserve">Kirin Holdings Co Ltd Ordinary JPY </t>
  </si>
  <si>
    <t xml:space="preserve">Kobe Steel Ltd Ordinary JPY </t>
  </si>
  <si>
    <t xml:space="preserve">Koito Manufacturing Co Ltd Ordinary JPY </t>
  </si>
  <si>
    <t xml:space="preserve">Komatsu Ltd Ordinary JPY </t>
  </si>
  <si>
    <t xml:space="preserve">Konami Holdings Corp Ordinary JPY </t>
  </si>
  <si>
    <t xml:space="preserve">Konica Minolta Inc Ordinary JPY </t>
  </si>
  <si>
    <t xml:space="preserve">Kose Corp Ordinary JPY </t>
  </si>
  <si>
    <t xml:space="preserve">Kubota Corp Ordinary JPY </t>
  </si>
  <si>
    <t xml:space="preserve">Kuraray Co Ltd Ordinary JPY </t>
  </si>
  <si>
    <t xml:space="preserve">Kurita Water Industries Ltd Ordinary JPY </t>
  </si>
  <si>
    <t xml:space="preserve">Kyocera Corp Ordinary JPY </t>
  </si>
  <si>
    <t xml:space="preserve">Kyowa Hakko Kirin Co Ltd Ordinary JPY </t>
  </si>
  <si>
    <t xml:space="preserve">Kyushu Electric Power Co Inc Ordinary JPY </t>
  </si>
  <si>
    <t xml:space="preserve">Kyushu Railway Co Ordinary JPY </t>
  </si>
  <si>
    <t xml:space="preserve">LINE Corp Ordinary JPY </t>
  </si>
  <si>
    <t xml:space="preserve">LIXIL Group Corp Ordinary JPY </t>
  </si>
  <si>
    <t xml:space="preserve">Lawson Inc Ordinary JPY </t>
  </si>
  <si>
    <t xml:space="preserve">Lion Corp Ordinary JPY </t>
  </si>
  <si>
    <t xml:space="preserve">M3 Inc Ordinary JPY </t>
  </si>
  <si>
    <t xml:space="preserve">MEIJI Holdings Co Ltd Ordinary JPY </t>
  </si>
  <si>
    <t xml:space="preserve">MINEBEA MITSUMI Inc Ordinary JPY </t>
  </si>
  <si>
    <t xml:space="preserve">MISUMI Group Inc Ordinary JPY </t>
  </si>
  <si>
    <t xml:space="preserve">MS&amp;AD Insurance Group Holdings Ordinary JPY </t>
  </si>
  <si>
    <t xml:space="preserve">Mabuchi Motor Co Ltd Ordinary JPY </t>
  </si>
  <si>
    <t xml:space="preserve">Makita Corp Ordinary JPY </t>
  </si>
  <si>
    <t xml:space="preserve">Marubeni Corp Ordinary JPY </t>
  </si>
  <si>
    <t xml:space="preserve">Marui Group Co Ltd Ordinary JPY </t>
  </si>
  <si>
    <t xml:space="preserve">Maruichi Steel Tube Ltd Ordinary JPY </t>
  </si>
  <si>
    <t xml:space="preserve">Mazda Motor Corp Ordinary JPY </t>
  </si>
  <si>
    <t xml:space="preserve">McDonald's Holdings Co Japan L Ordinary JPY </t>
  </si>
  <si>
    <t xml:space="preserve">Mebuki Financial Group Inc Ordinary JPY </t>
  </si>
  <si>
    <t xml:space="preserve">Medipal Holdings Corp Ordinary JPY </t>
  </si>
  <si>
    <t xml:space="preserve">Mitsubishi Chemical Holdings C Ordinary JPY </t>
  </si>
  <si>
    <t xml:space="preserve">Mitsubishi Corp Ordinary JPY </t>
  </si>
  <si>
    <t xml:space="preserve">Mitsubishi Electric Corp Ordinary JPY </t>
  </si>
  <si>
    <t xml:space="preserve">Mitsubishi Estate Co Ltd Ordinary JPY </t>
  </si>
  <si>
    <t xml:space="preserve">Mitsubishi Gas Chemical Co Inc Ordinary JPY </t>
  </si>
  <si>
    <t xml:space="preserve">Mitsubishi Heavy Industries Lt Ordinary JPY </t>
  </si>
  <si>
    <t xml:space="preserve">Mitsubishi Materials Corp Ordinary JPY </t>
  </si>
  <si>
    <t xml:space="preserve">Mitsubishi Tanabe Pharma Corp Ordinary JPY </t>
  </si>
  <si>
    <t xml:space="preserve">Mitsubishi UFJ Financial Group Ordinary JPY </t>
  </si>
  <si>
    <t xml:space="preserve">Mitsubishi UFJ Lease &amp; Finance Ordinary JPY </t>
  </si>
  <si>
    <t xml:space="preserve">Mitsui &amp; Co Ltd Ordinary JPY </t>
  </si>
  <si>
    <t xml:space="preserve">Mitsui Chemicals Inc Ordinary JPY </t>
  </si>
  <si>
    <t xml:space="preserve">Mitsui Fudosan Co Ltd Ordinary JPY </t>
  </si>
  <si>
    <t xml:space="preserve">Mitsui OSK Lines Ltd Ordinary JPY </t>
  </si>
  <si>
    <t xml:space="preserve">Mizuho Financial Group Inc Ordinary JPY </t>
  </si>
  <si>
    <t xml:space="preserve">Murata Manufacturing Co Ltd Ordinary JPY </t>
  </si>
  <si>
    <t xml:space="preserve">NEC Corp Ordinary JPY </t>
  </si>
  <si>
    <t xml:space="preserve">NGK Insulators Ltd Ordinary JPY </t>
  </si>
  <si>
    <t xml:space="preserve">NGK Spark Plug Co Ltd Ordinary JPY </t>
  </si>
  <si>
    <t xml:space="preserve">NH Foods Ltd Ordinary JPY </t>
  </si>
  <si>
    <t xml:space="preserve">NOK Corp Ordinary JPY </t>
  </si>
  <si>
    <t xml:space="preserve">NSK Ltd Ordinary JPY </t>
  </si>
  <si>
    <t xml:space="preserve">NTT DOCOMO Inc Ordinary JPY </t>
  </si>
  <si>
    <t xml:space="preserve">NTT Data Corp Ordinary JPY </t>
  </si>
  <si>
    <t xml:space="preserve">Nabtesco Corp Ordinary JPY </t>
  </si>
  <si>
    <t xml:space="preserve">Nagoya Railroad Co Ltd Ordinary JPY </t>
  </si>
  <si>
    <t xml:space="preserve">Nexon Co Ltd Ordinary JPY </t>
  </si>
  <si>
    <t xml:space="preserve">Nidec Corp Ordinary JPY </t>
  </si>
  <si>
    <t xml:space="preserve">Nikon Corp Ordinary JPY </t>
  </si>
  <si>
    <t xml:space="preserve">Nintendo Co Ltd Ordinary JPY </t>
  </si>
  <si>
    <t xml:space="preserve">Nippon Bldg Fd Inc REIT JPY </t>
  </si>
  <si>
    <t xml:space="preserve">Nippon Electric Glass Co Ltd Ordinary JPY </t>
  </si>
  <si>
    <t xml:space="preserve">Nippon Express Co Ltd Ordinary JPY </t>
  </si>
  <si>
    <t xml:space="preserve">Nippon Paint Holdings Co Ltd Ordinary JPY </t>
  </si>
  <si>
    <t xml:space="preserve">Nippon Prologis REIT Inc REIT JPY </t>
  </si>
  <si>
    <t xml:space="preserve">Nippon Steel &amp; Sumitomo Metal Ordinary JPY </t>
  </si>
  <si>
    <t xml:space="preserve">Nippon Telegraph &amp; Telephone C Ordinary JPY </t>
  </si>
  <si>
    <t xml:space="preserve">Nippon Yusen KK Ordinary JPY </t>
  </si>
  <si>
    <t xml:space="preserve">Nissan Chemical Corp Ordinary JPY </t>
  </si>
  <si>
    <t xml:space="preserve">Nissan Motor Co Ltd Ordinary JPY </t>
  </si>
  <si>
    <t xml:space="preserve">Nisshin Seifun Group Inc Ordinary JPY </t>
  </si>
  <si>
    <t xml:space="preserve">Nissin Foods Holdings Co Ltd Ordinary JPY </t>
  </si>
  <si>
    <t xml:space="preserve">Nitori Holdings Co Ltd Ordinary JPY </t>
  </si>
  <si>
    <t xml:space="preserve">Nitto Denko Corp Ordinary JPY </t>
  </si>
  <si>
    <t xml:space="preserve">Nomura Holdings Inc Ordinary JPY </t>
  </si>
  <si>
    <t xml:space="preserve">Nomura Real Estate Holdings In Ordinary JPY </t>
  </si>
  <si>
    <t xml:space="preserve">Nomura Real Estate Master Fd I REIT JPY </t>
  </si>
  <si>
    <t xml:space="preserve">Nomura Research Institute Ltd Ordinary JPY </t>
  </si>
  <si>
    <t xml:space="preserve">ORIX Corp Ordinary JPY </t>
  </si>
  <si>
    <t xml:space="preserve">Obayashi Corp Ordinary JPY </t>
  </si>
  <si>
    <t xml:space="preserve">Obic Co Ltd Ordinary JPY </t>
  </si>
  <si>
    <t xml:space="preserve">Odakyu Electric Railway Co Ltd Ordinary JPY </t>
  </si>
  <si>
    <t xml:space="preserve">Oji Holdings Corp Ordinary JPY </t>
  </si>
  <si>
    <t xml:space="preserve">Olympus Corp Ordinary JPY </t>
  </si>
  <si>
    <t xml:space="preserve">Omron Corp Ordinary JPY </t>
  </si>
  <si>
    <t xml:space="preserve">Ono Pharmaceutical Co Ltd Ordinary JPY </t>
  </si>
  <si>
    <t xml:space="preserve">Oracle Corp Japan Ordinary JPY </t>
  </si>
  <si>
    <t xml:space="preserve">Oriental Land Co Ltd/Japan Ordinary JPY </t>
  </si>
  <si>
    <t xml:space="preserve">Osaka Gas Co Ltd Ordinary JPY </t>
  </si>
  <si>
    <t xml:space="preserve">Otsuka Corp Ordinary JPY </t>
  </si>
  <si>
    <t xml:space="preserve">Otsuka Holdings Co Ltd Ordinary JPY </t>
  </si>
  <si>
    <t xml:space="preserve">Panasonic Corp Ordinary JPY </t>
  </si>
  <si>
    <t xml:space="preserve">Park24 Co Ltd Ordinary JPY </t>
  </si>
  <si>
    <t xml:space="preserve">Persol Holdings Co Ltd Ordinary JPY </t>
  </si>
  <si>
    <t xml:space="preserve">Pola Orbis Holdings Inc Ordinary JPY </t>
  </si>
  <si>
    <t xml:space="preserve">Rakuten Inc Ordinary JPY </t>
  </si>
  <si>
    <t xml:space="preserve">Recruit Holdings Co Ltd Ordinary JPY </t>
  </si>
  <si>
    <t xml:space="preserve">Renesas Electronics Corp Ordinary JPY </t>
  </si>
  <si>
    <t xml:space="preserve">Resona Holdings Inc Ordinary JPY </t>
  </si>
  <si>
    <t xml:space="preserve">Ricoh Co Ltd Ordinary JPY </t>
  </si>
  <si>
    <t xml:space="preserve">Rinnai Corp Ordinary JPY </t>
  </si>
  <si>
    <t xml:space="preserve">Rohm Co Ltd Ordinary JPY </t>
  </si>
  <si>
    <t xml:space="preserve">Ryohin Keikaku Co Ltd Ordinary JPY </t>
  </si>
  <si>
    <t xml:space="preserve">SBI Holdings Inc/Japan Ordinary JPY </t>
  </si>
  <si>
    <t xml:space="preserve">SMC Corp/Japan Ordinary JPY </t>
  </si>
  <si>
    <t xml:space="preserve">SUMCO Corp Ordinary JPY </t>
  </si>
  <si>
    <t xml:space="preserve">Sankyo Co Ltd Ordinary JPY </t>
  </si>
  <si>
    <t xml:space="preserve">Santen Pharmaceutical Co Ltd Ordinary JPY </t>
  </si>
  <si>
    <t xml:space="preserve">Secom Co Ltd Ordinary JPY </t>
  </si>
  <si>
    <t xml:space="preserve">Sega Sammy Holdings Inc Ordinary JPY </t>
  </si>
  <si>
    <t xml:space="preserve">Seibu Holdings Inc Ordinary JPY </t>
  </si>
  <si>
    <t xml:space="preserve">Seiko Epson Corp Ordinary JPY </t>
  </si>
  <si>
    <t xml:space="preserve">Sekisui Chemical Co Ltd Ordinary JPY </t>
  </si>
  <si>
    <t xml:space="preserve">Sekisui House Ltd Ordinary JPY </t>
  </si>
  <si>
    <t xml:space="preserve">Seven &amp; i Holdings Co Ltd Ordinary JPY </t>
  </si>
  <si>
    <t xml:space="preserve">Seven Bk Ltd Ordinary JPY </t>
  </si>
  <si>
    <t xml:space="preserve">Sharp Corp/Japan Ordinary JPY </t>
  </si>
  <si>
    <t xml:space="preserve">Shimadzu Corp Ordinary JPY </t>
  </si>
  <si>
    <t xml:space="preserve">Shimamura Co Ltd Ordinary JPY </t>
  </si>
  <si>
    <t xml:space="preserve">Shimano Inc Ordinary JPY </t>
  </si>
  <si>
    <t xml:space="preserve">Shimizu Corp Ordinary JPY </t>
  </si>
  <si>
    <t xml:space="preserve">Shin-Etsu Chemical Co Ltd Ordinary JPY </t>
  </si>
  <si>
    <t xml:space="preserve">Shinsei Bk Ltd Ordinary JPY </t>
  </si>
  <si>
    <t xml:space="preserve">Shionogi &amp; Co Ltd Ordinary JPY </t>
  </si>
  <si>
    <t xml:space="preserve">Shiseido Co Ltd Ordinary JPY </t>
  </si>
  <si>
    <t xml:space="preserve">Shizuoka Bk Ltd/The Ordinary JPY </t>
  </si>
  <si>
    <t xml:space="preserve">Showa Shell Sekiyu KK Ordinary JPY </t>
  </si>
  <si>
    <t xml:space="preserve">SoftBk Group Corp Ordinary JPY </t>
  </si>
  <si>
    <t xml:space="preserve">Sohgo Security Services Co Ltd Ordinary JPY </t>
  </si>
  <si>
    <t xml:space="preserve">Sompo Holdings Inc Ordinary JPY </t>
  </si>
  <si>
    <t xml:space="preserve">Sony Corp Ordinary JPY </t>
  </si>
  <si>
    <t xml:space="preserve">Sony Financial Holdings Inc Ordinary JPY </t>
  </si>
  <si>
    <t xml:space="preserve">Stanley Electric Co Ltd Ordinary JPY </t>
  </si>
  <si>
    <t xml:space="preserve">Start Today Co Ltd Ordinary JPY </t>
  </si>
  <si>
    <t xml:space="preserve">Subaru Corp Ordinary JPY </t>
  </si>
  <si>
    <t xml:space="preserve">Sumitomo Chemical Co Ltd Ordinary JPY </t>
  </si>
  <si>
    <t xml:space="preserve">Sumitomo Corp Ordinary JPY </t>
  </si>
  <si>
    <t xml:space="preserve">Sumitomo Dainippon Pharma Co L Ordinary JPY </t>
  </si>
  <si>
    <t xml:space="preserve">Sumitomo Electric Industries L Ordinary JPY </t>
  </si>
  <si>
    <t xml:space="preserve">Sumitomo Heavy Industries Ltd Ordinary JPY </t>
  </si>
  <si>
    <t xml:space="preserve">Sumitomo Metal Mining Co Ltd Ordinary JPY </t>
  </si>
  <si>
    <t xml:space="preserve">Sumitomo Mitsui Financial Grou Ordinary JPY </t>
  </si>
  <si>
    <t xml:space="preserve">Sumitomo Mitsui Tst Holdings I Ordinary JPY </t>
  </si>
  <si>
    <t xml:space="preserve">Sumitomo Realty &amp; Development Ordinary JPY </t>
  </si>
  <si>
    <t xml:space="preserve">Sumitomo Rubber Industries Ltd Ordinary JPY </t>
  </si>
  <si>
    <t xml:space="preserve">Sundrug Co Ltd Ordinary JPY </t>
  </si>
  <si>
    <t xml:space="preserve">Suntory Beverage &amp; Food Ltd Ordinary JPY </t>
  </si>
  <si>
    <t xml:space="preserve">Suzuken Co Ltd/Aichi Japan Ordinary JPY </t>
  </si>
  <si>
    <t xml:space="preserve">Suzuki Motor Corp Ordinary JPY </t>
  </si>
  <si>
    <t xml:space="preserve">Sysmex Corp Ordinary JPY </t>
  </si>
  <si>
    <t xml:space="preserve">T&amp;D Holdings Inc Ordinary JPY </t>
  </si>
  <si>
    <t xml:space="preserve">TDK Corp Ordinary JPY </t>
  </si>
  <si>
    <t xml:space="preserve">THK Co Ltd Ordinary JPY </t>
  </si>
  <si>
    <t xml:space="preserve">TOTO Ltd Ordinary JPY </t>
  </si>
  <si>
    <t xml:space="preserve">Taiheiyo Cement Corp Ordinary JPY </t>
  </si>
  <si>
    <t xml:space="preserve">Taisei Corp Ordinary JPY </t>
  </si>
  <si>
    <t xml:space="preserve">Taisho Pharmaceutical Holdings Ordinary JPY </t>
  </si>
  <si>
    <t xml:space="preserve">Taiyo Nippon Sanso Corp Ordinary JPY </t>
  </si>
  <si>
    <t xml:space="preserve">Takashimaya Co Ltd Ordinary JPY </t>
  </si>
  <si>
    <t xml:space="preserve">Takeda Pharmaceutical Co Ltd Ordinary JPY </t>
  </si>
  <si>
    <t xml:space="preserve">Teijin Ltd Ordinary JPY </t>
  </si>
  <si>
    <t xml:space="preserve">Terumo Corp Ordinary JPY </t>
  </si>
  <si>
    <t xml:space="preserve">Tobu Railway Co Ltd Ordinary JPY </t>
  </si>
  <si>
    <t xml:space="preserve">Toho Co Ltd/Tokyo Ordinary JPY </t>
  </si>
  <si>
    <t xml:space="preserve">Toho Gas Co Ltd Ordinary JPY </t>
  </si>
  <si>
    <t xml:space="preserve">Tohoku Electric Power Co Inc Ordinary JPY </t>
  </si>
  <si>
    <t xml:space="preserve">Tokio Marine Holdings Inc Ordinary JPY </t>
  </si>
  <si>
    <t xml:space="preserve">Tokyo Electron Ltd Ordinary JPY </t>
  </si>
  <si>
    <t xml:space="preserve">Tokyo Gas Co Ltd Ordinary JPY </t>
  </si>
  <si>
    <t xml:space="preserve">Tokyo Tatemono Co Ltd Ordinary JPY </t>
  </si>
  <si>
    <t xml:space="preserve">Tokyu Corp Ordinary JPY </t>
  </si>
  <si>
    <t xml:space="preserve">Tokyu Fudosan Holdings Corp Ordinary JPY </t>
  </si>
  <si>
    <t xml:space="preserve">Toppan Printing Co Ltd Ordinary JPY </t>
  </si>
  <si>
    <t xml:space="preserve">Toray Industries Inc Ordinary JPY </t>
  </si>
  <si>
    <t xml:space="preserve">Tosoh Corp Ordinary JPY </t>
  </si>
  <si>
    <t xml:space="preserve">Toyo Seikan Group Holdings Ltd Ordinary JPY </t>
  </si>
  <si>
    <t xml:space="preserve">Toyo Suisan Kaisha Ltd Ordinary JPY </t>
  </si>
  <si>
    <t xml:space="preserve">Toyoda Gosei Co Ltd Ordinary JPY </t>
  </si>
  <si>
    <t xml:space="preserve">Toyota Industries Corp Ordinary JPY </t>
  </si>
  <si>
    <t xml:space="preserve">Toyota Motor Corp Ordinary JPY </t>
  </si>
  <si>
    <t xml:space="preserve">Toyota Tsusho Corp Ordinary JPY </t>
  </si>
  <si>
    <t xml:space="preserve">Trend Micro Inc/Japan Ordinary JPY </t>
  </si>
  <si>
    <t xml:space="preserve">Tsuruha Holdings Inc Ordinary JPY </t>
  </si>
  <si>
    <t xml:space="preserve">USS Co Ltd Ordinary JPY </t>
  </si>
  <si>
    <t xml:space="preserve">Unicharm Corp Ordinary JPY </t>
  </si>
  <si>
    <t xml:space="preserve">Utd Urban Investment Corp REIT JPY </t>
  </si>
  <si>
    <t xml:space="preserve">West Japan Railway Co Ordinary JPY </t>
  </si>
  <si>
    <t xml:space="preserve">Yahoo Japan Corp Ordinary JPY </t>
  </si>
  <si>
    <t xml:space="preserve">Yakult Honsha Co Ltd Ordinary JPY </t>
  </si>
  <si>
    <t xml:space="preserve">Yamada Denki Co Ltd Ordinary JPY </t>
  </si>
  <si>
    <t xml:space="preserve">Yamaguchi Financial Group Inc Ordinary JPY </t>
  </si>
  <si>
    <t xml:space="preserve">Yamaha Corp Ordinary JPY </t>
  </si>
  <si>
    <t xml:space="preserve">Yamaha Motor Co Ltd Ordinary JPY </t>
  </si>
  <si>
    <t xml:space="preserve">Yamato Holdings Co Ltd Ordinary JPY </t>
  </si>
  <si>
    <t xml:space="preserve">Yamazaki Baking Co Ltd Ordinary JPY </t>
  </si>
  <si>
    <t xml:space="preserve">Yaskawa Electric Corp Ordinary JPY </t>
  </si>
  <si>
    <t xml:space="preserve">Yokogawa Electric Corp Ordinary JPY </t>
  </si>
  <si>
    <t xml:space="preserve">Yokohama Rubber Co Ltd/The Ordinary JPY </t>
  </si>
  <si>
    <t xml:space="preserve">                                                                                    </t>
  </si>
  <si>
    <t xml:space="preserve">Aker BP ASA Ordinary NOK 1.0 </t>
  </si>
  <si>
    <t>NOK</t>
  </si>
  <si>
    <t xml:space="preserve">DNB ASA Ordinary NOK 10.0 </t>
  </si>
  <si>
    <t xml:space="preserve">Equinor ASA Ordinary NOK 2.5 </t>
  </si>
  <si>
    <t xml:space="preserve">Gjensidige Forsikring ASA Ordinary NOK 2.0 </t>
  </si>
  <si>
    <t xml:space="preserve">Marine Harvest ASA Ordinary NOK 7.5 </t>
  </si>
  <si>
    <t xml:space="preserve">Norsk Hydro ASA Ordinary NOK 1.098 </t>
  </si>
  <si>
    <t xml:space="preserve">Orkla ASA Ordinary NOK 1.25 </t>
  </si>
  <si>
    <t xml:space="preserve">Schibsted ASA Ordinary NOK 0.5 </t>
  </si>
  <si>
    <t xml:space="preserve">Telenor ASA Ordinary NOK 6.0 </t>
  </si>
  <si>
    <t xml:space="preserve">Yara Intl ASA Ordinary NOK 1.7 </t>
  </si>
  <si>
    <t xml:space="preserve">                                                                       </t>
  </si>
  <si>
    <t xml:space="preserve">Auckland Intl Airport Ltd Ordinary NZD </t>
  </si>
  <si>
    <t>NZD</t>
  </si>
  <si>
    <t xml:space="preserve">Fisher &amp; Paykel Healthcare Cor Ordinary NZD </t>
  </si>
  <si>
    <t xml:space="preserve">Fletcher Bldg Ltd Ordinary NZD </t>
  </si>
  <si>
    <t xml:space="preserve">Meridian Energy Ltd Ordinary NZD </t>
  </si>
  <si>
    <t xml:space="preserve">Ryman Healthcare Ltd Ordinary NZD </t>
  </si>
  <si>
    <t xml:space="preserve">Spark New Zealand Ltd Ordinary NZD </t>
  </si>
  <si>
    <t xml:space="preserve">a2 Milk Co Ltd Ordinary NZD </t>
  </si>
  <si>
    <t xml:space="preserve">                                                                   </t>
  </si>
  <si>
    <t xml:space="preserve">Alfa Laval AB Ordinary SEK 2.84 </t>
  </si>
  <si>
    <t>SEK</t>
  </si>
  <si>
    <t xml:space="preserve">Assa Abloy AB Ordinary SEK 1.0 </t>
  </si>
  <si>
    <t xml:space="preserve">Atlas Copco AB Ordinary SEK </t>
  </si>
  <si>
    <t xml:space="preserve">Atlas Copco AB Ordinary SEK 0.64 </t>
  </si>
  <si>
    <t xml:space="preserve">Boliden AB Ordinary SEK 2.11 </t>
  </si>
  <si>
    <t xml:space="preserve">Electrolux AB Ordinary SEK 5.0 </t>
  </si>
  <si>
    <t xml:space="preserve">Epiroc AB Ordinary SEK 0.412413 </t>
  </si>
  <si>
    <t xml:space="preserve">Essity AB Ordinary SEK </t>
  </si>
  <si>
    <t xml:space="preserve">Hennes &amp; Mauritz AB Ordinary SEK </t>
  </si>
  <si>
    <t xml:space="preserve">Hexagon AB Ordinary SEK 0.22 </t>
  </si>
  <si>
    <t xml:space="preserve">Husqvarna AB Ordinary SEK 2.0 </t>
  </si>
  <si>
    <t xml:space="preserve">ICA Gruppen AB Ordinary SEK 2.5 </t>
  </si>
  <si>
    <t xml:space="preserve">Industrivarden AB Ordinary SEK 2.5 </t>
  </si>
  <si>
    <t xml:space="preserve">Investor AB Ordinary SEK 6.25 </t>
  </si>
  <si>
    <t xml:space="preserve">Kinnevik AB Ordinary SEK 0.1 </t>
  </si>
  <si>
    <t xml:space="preserve">L E Lundbergforetagen AB Ordinary SEK </t>
  </si>
  <si>
    <t xml:space="preserve">Lundin Pet AB Ordinary SEK 0.01 </t>
  </si>
  <si>
    <t xml:space="preserve">Millicom Intl Cellular SA SDR SEK </t>
  </si>
  <si>
    <t xml:space="preserve">Nordea Bk AB Ordinary SEK 1.0 </t>
  </si>
  <si>
    <t xml:space="preserve">SKF AB Ordinary SEK 2.5 </t>
  </si>
  <si>
    <t xml:space="preserve">Sandvik AB Ordinary SEK 1.2 </t>
  </si>
  <si>
    <t xml:space="preserve">Securitas AB Ordinary SEK 1.0 </t>
  </si>
  <si>
    <t xml:space="preserve">Skandinaviska Enskilda Bken AB Ordinary SEK 10.0 </t>
  </si>
  <si>
    <t xml:space="preserve">Skanska AB Ordinary SEK </t>
  </si>
  <si>
    <t xml:space="preserve">Svenska Handelsbanken AB Ordinary SEK </t>
  </si>
  <si>
    <t xml:space="preserve">Swedbank AB Ordinary SEK 22.0 </t>
  </si>
  <si>
    <t xml:space="preserve">Swedish Match AB Ordinary SEK 1.9823 </t>
  </si>
  <si>
    <t xml:space="preserve">Tele2 AB Ordinary SEK 1.25 </t>
  </si>
  <si>
    <t xml:space="preserve">Telefonaktiebolaget LM Ericsso Ordinary SEK </t>
  </si>
  <si>
    <t xml:space="preserve">Telia Co AB Ordinary SEK 3.2 </t>
  </si>
  <si>
    <t xml:space="preserve">Volvo AB Ordinary SEK 1.2 </t>
  </si>
  <si>
    <t xml:space="preserve">Ascendas Real Estate Investmen REIT SGD </t>
  </si>
  <si>
    <t>SGD</t>
  </si>
  <si>
    <t xml:space="preserve">CapitaLand Commercial Tst REIT SGD </t>
  </si>
  <si>
    <t xml:space="preserve">CapitaLand Ltd Ordinary SGD </t>
  </si>
  <si>
    <t xml:space="preserve">CapitaLand Mall Tst REIT SGD </t>
  </si>
  <si>
    <t xml:space="preserve">City Developments Ltd Ordinary SGD </t>
  </si>
  <si>
    <t xml:space="preserve">ComfortDelGro Corp Ltd Ordinary SGD </t>
  </si>
  <si>
    <t xml:space="preserve">DBS Group Holdings Ltd Ordinary SGD </t>
  </si>
  <si>
    <t xml:space="preserve">Genting Singapore Ltd Ordinary SGD 0.1 </t>
  </si>
  <si>
    <t xml:space="preserve">Jardine Cycle &amp; Carriage Ltd Ordinary SGD </t>
  </si>
  <si>
    <t xml:space="preserve">Keppel Corp Ltd Ordinary SGD </t>
  </si>
  <si>
    <t xml:space="preserve">Oversea-Chinese Bking Corp Ltd Ordinary SGD </t>
  </si>
  <si>
    <t xml:space="preserve">Sembcorp Industries Ltd Ordinary SGD </t>
  </si>
  <si>
    <t xml:space="preserve">Singapore Airlines Ltd Ordinary SGD </t>
  </si>
  <si>
    <t xml:space="preserve">Singapore Airport Terminal Ser Ordinary SGD </t>
  </si>
  <si>
    <t xml:space="preserve">Singapore Exch Ltd Ordinary SGD </t>
  </si>
  <si>
    <t xml:space="preserve">Singapore Press Holdings Ltd Ordinary SGD </t>
  </si>
  <si>
    <t xml:space="preserve">Singapore Technologies Enginee Ordinary SGD </t>
  </si>
  <si>
    <t xml:space="preserve">Singapore Telecommunications L Ordinary SGD </t>
  </si>
  <si>
    <t xml:space="preserve">Suntec Real Estate Investment REIT SGD </t>
  </si>
  <si>
    <t xml:space="preserve">UOL Group Ltd Ordinary SGD </t>
  </si>
  <si>
    <t xml:space="preserve">Utd Overseas Bk Ltd Ordinary SGD </t>
  </si>
  <si>
    <t xml:space="preserve">Wilmar Intl Ltd Ordinary SGD </t>
  </si>
  <si>
    <t xml:space="preserve">                                                                  </t>
  </si>
  <si>
    <t xml:space="preserve">3M Co Common Stock USD 0.01 </t>
  </si>
  <si>
    <t xml:space="preserve">ABIOMED Inc Common Stock USD 0.01 </t>
  </si>
  <si>
    <t xml:space="preserve">AES Corp/VA Common Stock USD 0.01 </t>
  </si>
  <si>
    <t xml:space="preserve">AGCO Corp Common Stock USD 0.01 </t>
  </si>
  <si>
    <t xml:space="preserve">AGNC Investment Corp REIT USD </t>
  </si>
  <si>
    <t xml:space="preserve">AMERCO Common Stock USD 0.25 </t>
  </si>
  <si>
    <t xml:space="preserve">AMETEK Inc Common Stock USD 0.01 </t>
  </si>
  <si>
    <t xml:space="preserve">ANSYS Inc Common Stock USD 0.01 </t>
  </si>
  <si>
    <t xml:space="preserve">AO Smith Corp Common Stock USD 1.0 </t>
  </si>
  <si>
    <t xml:space="preserve">AT&amp;T Inc Common Stock USD 1.0 </t>
  </si>
  <si>
    <t xml:space="preserve">AbbVie Inc Common Stock USD 0.01 </t>
  </si>
  <si>
    <t xml:space="preserve">Abbott Laboratories Common Stock USD </t>
  </si>
  <si>
    <t xml:space="preserve">Accenture PLC Common Stock USD 0.0000225 CL </t>
  </si>
  <si>
    <t xml:space="preserve">Activision Blizzard Inc Common Stock USD 0.000001 </t>
  </si>
  <si>
    <t xml:space="preserve">Acuity Brands Inc Common Stock USD 0.01 </t>
  </si>
  <si>
    <t xml:space="preserve">Adobe Systems Inc Common Stock USD 0.0001 </t>
  </si>
  <si>
    <t xml:space="preserve">Advance Auto Parts Inc Common Stock USD 0.0001 </t>
  </si>
  <si>
    <t xml:space="preserve">Advanced Micro Devices Inc Common Stock USD 0.01 </t>
  </si>
  <si>
    <t xml:space="preserve">AerCap Holdings NV Common Stock USD 0.01 </t>
  </si>
  <si>
    <t xml:space="preserve">Aetna Inc Common Stock USD 0.01 </t>
  </si>
  <si>
    <t xml:space="preserve">Affiliated Managers Group Inc Common Stock USD 0.01 </t>
  </si>
  <si>
    <t xml:space="preserve">Aflac Inc Common Stock USD 0.1 </t>
  </si>
  <si>
    <t xml:space="preserve">Agilent Technologies Inc Common Stock USD 0.01 </t>
  </si>
  <si>
    <t xml:space="preserve">Air Products &amp; Chemicals Inc Common Stock USD 1.0 </t>
  </si>
  <si>
    <t xml:space="preserve">Akamai Technologies Inc Common Stock USD 0.01 </t>
  </si>
  <si>
    <t xml:space="preserve">Albemarle Corp Common Stock USD 0.01 </t>
  </si>
  <si>
    <t xml:space="preserve">Alexandria Real Estate Equitie REIT USD </t>
  </si>
  <si>
    <t xml:space="preserve">Alexion Pharmaceuticals Inc Common Stock USD 0.0001 </t>
  </si>
  <si>
    <t xml:space="preserve">Align Technology Inc Common Stock USD 0.0001 </t>
  </si>
  <si>
    <t xml:space="preserve">Alkermes PLC Common Stock USD 0.01 </t>
  </si>
  <si>
    <t xml:space="preserve">Alleghany Corp Common Stock USD 1.0 </t>
  </si>
  <si>
    <t xml:space="preserve">Allegion PLC Common Stock USD 0.01 </t>
  </si>
  <si>
    <t xml:space="preserve">Allergan PLC Common Stock USD 0.0033 </t>
  </si>
  <si>
    <t xml:space="preserve">Alliance Data Systems Corp Common Stock USD 0.01 </t>
  </si>
  <si>
    <t xml:space="preserve">Alliant Energy Corp Common Stock USD 0.01 </t>
  </si>
  <si>
    <t xml:space="preserve">Allstate Corp/The Common Stock USD 0.01 </t>
  </si>
  <si>
    <t xml:space="preserve">Ally Financial Inc Common Stock USD 0.1 </t>
  </si>
  <si>
    <t xml:space="preserve">Alnylam Pharmaceuticals Inc Common Stock USD 0.01 </t>
  </si>
  <si>
    <t xml:space="preserve">Alphabet Inc Common Stock USD 0.001 </t>
  </si>
  <si>
    <t xml:space="preserve">Alphabet Inc Common Stock USD 0.001 CL A </t>
  </si>
  <si>
    <t xml:space="preserve">Altria Group Inc Common Stock USD 0.333 </t>
  </si>
  <si>
    <t xml:space="preserve">Amazon.com Inc Common Stock USD 0.01 </t>
  </si>
  <si>
    <t xml:space="preserve">Ameren Corp Common Stock USD 0.01 </t>
  </si>
  <si>
    <t xml:space="preserve">American Airlines Group Inc Common Stock USD 0.01 </t>
  </si>
  <si>
    <t xml:space="preserve">American Electric Power Co Inc Common Stock USD 6.5 </t>
  </si>
  <si>
    <t xml:space="preserve">American Express Co Common Stock USD 0.2 </t>
  </si>
  <si>
    <t xml:space="preserve">American Financial Group Inc/O Common Stock USD </t>
  </si>
  <si>
    <t xml:space="preserve">American Intl Group Inc Common Stock USD 2.5 </t>
  </si>
  <si>
    <t xml:space="preserve">American Tower Corp REIT USD </t>
  </si>
  <si>
    <t xml:space="preserve">American Water Works Co Inc Common Stock USD 0.01 </t>
  </si>
  <si>
    <t xml:space="preserve">Ameriprise Financial Inc Common Stock USD 0.01 </t>
  </si>
  <si>
    <t xml:space="preserve">AmerisourceBergen Corp Common Stock USD 0.01 </t>
  </si>
  <si>
    <t xml:space="preserve">Amgen Inc Common Stock USD 0.0001 </t>
  </si>
  <si>
    <t xml:space="preserve">Amphenol Corp Common Stock USD 0.001 CL A </t>
  </si>
  <si>
    <t xml:space="preserve">Anadarko Pet Corp Common Stock USD 0.1 </t>
  </si>
  <si>
    <t xml:space="preserve">Analog Devices Inc Common Stock USD 0.167 </t>
  </si>
  <si>
    <t xml:space="preserve">Andeavor Common Stock USD 0.167 </t>
  </si>
  <si>
    <t xml:space="preserve">Annaly Capital Mgt Inc REIT USD </t>
  </si>
  <si>
    <t xml:space="preserve">Antero Resources Corp Common Stock USD 0.01 </t>
  </si>
  <si>
    <t xml:space="preserve">Anthem Inc Common Stock USD 0.01 </t>
  </si>
  <si>
    <t xml:space="preserve">Aon PLC Common Stock USD 0.01 </t>
  </si>
  <si>
    <t xml:space="preserve">Apache Corp Common Stock USD 0.625 </t>
  </si>
  <si>
    <t xml:space="preserve">Apple Inc Common Stock USD 0.00001 </t>
  </si>
  <si>
    <t xml:space="preserve">Applied Materials Inc Common Stock USD 0.01 </t>
  </si>
  <si>
    <t xml:space="preserve">Aptiv PLC Common Stock USD 0.01 </t>
  </si>
  <si>
    <t xml:space="preserve">Aramark Common Stock USD 0.01 </t>
  </si>
  <si>
    <t xml:space="preserve">Arch Capital Group Ltd Common Stock USD 0.01 </t>
  </si>
  <si>
    <t xml:space="preserve">Archer-Daniels-Midland Co Common Stock USD </t>
  </si>
  <si>
    <t xml:space="preserve">Arconic Inc Common Stock USD </t>
  </si>
  <si>
    <t xml:space="preserve">Arista Networks Inc Common Stock USD 0.0001 </t>
  </si>
  <si>
    <t xml:space="preserve">Arrow Electronics Inc Common Stock USD 1.0 </t>
  </si>
  <si>
    <t xml:space="preserve">Arthur J Gallagher &amp; Co Common Stock USD 1.0 </t>
  </si>
  <si>
    <t xml:space="preserve">Assurant Inc Common Stock USD 0.01 </t>
  </si>
  <si>
    <t xml:space="preserve">Athene Holding Ltd Common Stock USD 0.001 CL A </t>
  </si>
  <si>
    <t xml:space="preserve">Atmos Energy Corp Common Stock USD </t>
  </si>
  <si>
    <t xml:space="preserve">AutoZone Inc Common Stock USD 0.01 </t>
  </si>
  <si>
    <t xml:space="preserve">Autodesk Inc Common Stock USD 0.01 </t>
  </si>
  <si>
    <t xml:space="preserve">Autoliv Inc Common Stock USD 1.0 </t>
  </si>
  <si>
    <t xml:space="preserve">Automatic Data Processing Inc Common Stock USD 0.1 </t>
  </si>
  <si>
    <t xml:space="preserve">AvalonBay Communities Inc REIT USD </t>
  </si>
  <si>
    <t xml:space="preserve">Avery Dennison Corp Common Stock USD 1.0 </t>
  </si>
  <si>
    <t xml:space="preserve">Avnet Inc Common Stock USD 1.0 </t>
  </si>
  <si>
    <t xml:space="preserve">Axalta Coating Systems Ltd Common Stock USD 1.0 </t>
  </si>
  <si>
    <t xml:space="preserve">Axis Capital Holdings Ltd Common Stock USD 0.0125 </t>
  </si>
  <si>
    <t xml:space="preserve">BB&amp;T Corp Common Stock USD 5.0 </t>
  </si>
  <si>
    <t xml:space="preserve">Baker Hughes a GE Co Common Stock USD 0.0001 </t>
  </si>
  <si>
    <t xml:space="preserve">Ball Corp Common Stock USD </t>
  </si>
  <si>
    <t xml:space="preserve">Baxter Intl Inc Common Stock USD 1.0 </t>
  </si>
  <si>
    <t xml:space="preserve">Becton Dickinson and Co Common Stock USD 1.0 </t>
  </si>
  <si>
    <t xml:space="preserve">Berkshire Hathaway Inc Common Stock USD 0.0033 CL B </t>
  </si>
  <si>
    <t xml:space="preserve">Best Buy Co Inc Common Stock USD 0.1 </t>
  </si>
  <si>
    <t xml:space="preserve">BioMarin Pharmaceutical Inc Common Stock USD 0.001 </t>
  </si>
  <si>
    <t xml:space="preserve">Biogen Inc Common Stock USD 0.0005 </t>
  </si>
  <si>
    <t xml:space="preserve">Bk of America Corp Common Stock USD 0.01 </t>
  </si>
  <si>
    <t xml:space="preserve">Bk of New York Mellon Corp/The Common Stock USD 0.01 </t>
  </si>
  <si>
    <t xml:space="preserve">BlackRock Inc Common Stock USD 0.01 </t>
  </si>
  <si>
    <t xml:space="preserve">Booking Holdings Inc Common Stock USD 0.008 </t>
  </si>
  <si>
    <t xml:space="preserve">BorgWarner Inc Common Stock USD 0.01 </t>
  </si>
  <si>
    <t xml:space="preserve">Boston Properties Inc REIT USD </t>
  </si>
  <si>
    <t xml:space="preserve">Boston Scientific Corp Common Stock USD 0.01 </t>
  </si>
  <si>
    <t xml:space="preserve">Brighthouse Financial Inc Common Stock USD 0.01 </t>
  </si>
  <si>
    <t xml:space="preserve">Bristol-Myers Squibb Co Common Stock USD 0.1 </t>
  </si>
  <si>
    <t xml:space="preserve">Broadcom Inc Common Stock USD </t>
  </si>
  <si>
    <t xml:space="preserve">Broadridge Financial Solutions Common Stock USD 0.01 </t>
  </si>
  <si>
    <t xml:space="preserve">Brown-Forman Corp Common Stock USD 0.15 CL B </t>
  </si>
  <si>
    <t xml:space="preserve">Bunge Ltd Common Stock USD 0.01 </t>
  </si>
  <si>
    <t xml:space="preserve">CA Inc Common Stock USD 0.1 </t>
  </si>
  <si>
    <t xml:space="preserve">CBRE Group Inc Common Stock USD 0.01 </t>
  </si>
  <si>
    <t xml:space="preserve">CBS Corp Common Stock USD 0.001 CL B </t>
  </si>
  <si>
    <t xml:space="preserve">CDK Global Inc Common Stock USD 0.01 </t>
  </si>
  <si>
    <t xml:space="preserve">CDW Corp/DE Common Stock USD 0.01 </t>
  </si>
  <si>
    <t xml:space="preserve">CF Industries Holdings Inc Common Stock USD 0.01 </t>
  </si>
  <si>
    <t xml:space="preserve">CH Robinson Worldwide Inc Common Stock USD 0.1 </t>
  </si>
  <si>
    <t xml:space="preserve">CIT Group Inc Common Stock USD 0.01 </t>
  </si>
  <si>
    <t xml:space="preserve">CME Group Inc Common Stock USD 0.01 </t>
  </si>
  <si>
    <t xml:space="preserve">CMS Energy Corp Common Stock USD 0.01 </t>
  </si>
  <si>
    <t xml:space="preserve">CSX Corp Common Stock USD 1.0 </t>
  </si>
  <si>
    <t xml:space="preserve">CVS Health Corp Common Stock USD 0.01 </t>
  </si>
  <si>
    <t xml:space="preserve">Cabot Oil &amp; Gas Corp Common Stock USD 0.1 </t>
  </si>
  <si>
    <t xml:space="preserve">Cadence Design Systems Inc Common Stock USD 0.01 </t>
  </si>
  <si>
    <t xml:space="preserve">Camden Property Tst REIT USD </t>
  </si>
  <si>
    <t xml:space="preserve">Campbell Soup Co Common Stock USD 0.0375 </t>
  </si>
  <si>
    <t xml:space="preserve">Capital One Financial Corp Common Stock USD 0.01 </t>
  </si>
  <si>
    <t xml:space="preserve">CarMax Inc Common Stock USD 0.5 </t>
  </si>
  <si>
    <t xml:space="preserve">Cardinal Health Inc Common Stock USD </t>
  </si>
  <si>
    <t xml:space="preserve">Carnival Corp Common Stock USD 0.01 </t>
  </si>
  <si>
    <t xml:space="preserve">Caterpillar Inc Common Stock USD 1.0 </t>
  </si>
  <si>
    <t xml:space="preserve">Cboe Global Markets Inc Common Stock USD </t>
  </si>
  <si>
    <t xml:space="preserve">Celanese Corp Common Stock USD 0.0001 </t>
  </si>
  <si>
    <t xml:space="preserve">Celgene Corp Common Stock USD 0.01 </t>
  </si>
  <si>
    <t xml:space="preserve">Centene Corp Common Stock USD 0.001 </t>
  </si>
  <si>
    <t xml:space="preserve">CenterPoint Energy Inc Common Stock USD 0.01 </t>
  </si>
  <si>
    <t xml:space="preserve">CenturyLink Inc Common Stock USD 1.0 </t>
  </si>
  <si>
    <t xml:space="preserve">Cerner Corp Common Stock USD 0.01 </t>
  </si>
  <si>
    <t xml:space="preserve">Charles Schwab Corp/The Common Stock USD 0.01 </t>
  </si>
  <si>
    <t xml:space="preserve">Charter Communications Inc Common Stock USD 0.001 </t>
  </si>
  <si>
    <t xml:space="preserve">Check Point Software Technolog Common Stock USD 0.01 </t>
  </si>
  <si>
    <t xml:space="preserve">Chemours Co/The Common Stock USD </t>
  </si>
  <si>
    <t xml:space="preserve">Cheniere Energy Inc Common Stock USD 0.003 </t>
  </si>
  <si>
    <t xml:space="preserve">Chipotle Mexican Grill Inc Common Stock USD 0.01 </t>
  </si>
  <si>
    <t xml:space="preserve">Chubb Ltd Common Stock USD 24.15 </t>
  </si>
  <si>
    <t xml:space="preserve">Church &amp; Dwight Co Inc Common Stock USD 1.0 </t>
  </si>
  <si>
    <t xml:space="preserve">Cigna Corp Common Stock USD 0.25 </t>
  </si>
  <si>
    <t xml:space="preserve">Cimarex Energy Co Common Stock USD 0.01 </t>
  </si>
  <si>
    <t xml:space="preserve">Cincinnati Financial Corp Common Stock USD 2.0 </t>
  </si>
  <si>
    <t xml:space="preserve">Cintas Corp Common Stock USD </t>
  </si>
  <si>
    <t xml:space="preserve">Cisco Systems Inc Common Stock USD 0.001 </t>
  </si>
  <si>
    <t xml:space="preserve">Citigroup Inc Common Stock USD 0.01 </t>
  </si>
  <si>
    <t xml:space="preserve">Citizens Financial Group Inc Common Stock USD 0.01 </t>
  </si>
  <si>
    <t xml:space="preserve">Citrix Systems Inc Common Stock USD 0.001 </t>
  </si>
  <si>
    <t xml:space="preserve">Clorox Co/The Common Stock USD 1.0 </t>
  </si>
  <si>
    <t xml:space="preserve">CoStar Group Inc Common Stock USD 0.01 </t>
  </si>
  <si>
    <t xml:space="preserve">Coca-Cola Co/The Common Stock USD 0.25 </t>
  </si>
  <si>
    <t xml:space="preserve">Coca-Cola European Partners PL Common Stock USD 0.01 </t>
  </si>
  <si>
    <t xml:space="preserve">Cognex Corp Common Stock USD 0.002 </t>
  </si>
  <si>
    <t xml:space="preserve">Cognizant Technology Solutions Common Stock USD 0.01 </t>
  </si>
  <si>
    <t xml:space="preserve">Colgate-Palmolive Co Common Stock USD 1.0 </t>
  </si>
  <si>
    <t xml:space="preserve">Comcast Corp Common Stock USD 0.01 CL A </t>
  </si>
  <si>
    <t xml:space="preserve">Comerica Inc Common Stock USD 5.0 </t>
  </si>
  <si>
    <t xml:space="preserve">CommScope Holding Co Inc Common Stock USD 0.01 </t>
  </si>
  <si>
    <t xml:space="preserve">Conagra Brands Inc Common Stock USD 5.0 </t>
  </si>
  <si>
    <t xml:space="preserve">Concho Resources Inc Common Stock USD 0.001 </t>
  </si>
  <si>
    <t xml:space="preserve">ConocoPhillips Common Stock USD 0.01 </t>
  </si>
  <si>
    <t xml:space="preserve">Consolidated Edison Inc Common Stock USD 0.1 </t>
  </si>
  <si>
    <t xml:space="preserve">Constellation Brands Inc Common Stock USD 0.01 </t>
  </si>
  <si>
    <t xml:space="preserve">Continental Resources Inc/OK Common Stock USD 0.01 </t>
  </si>
  <si>
    <t xml:space="preserve">Cooper Cos Inc/The Common Stock USD 0.1 </t>
  </si>
  <si>
    <t xml:space="preserve">Copart Inc Common Stock USD </t>
  </si>
  <si>
    <t xml:space="preserve">Corning Inc Common Stock USD 0.5 </t>
  </si>
  <si>
    <t xml:space="preserve">Costco Wholesale Corp Common Stock USD 0.005 </t>
  </si>
  <si>
    <t xml:space="preserve">Coty Inc Common Stock USD 0.01 CL A </t>
  </si>
  <si>
    <t xml:space="preserve">Crown Castle Intl Corp REIT USD </t>
  </si>
  <si>
    <t xml:space="preserve">Crown Holdings Inc Common Stock USD 5.0 </t>
  </si>
  <si>
    <t xml:space="preserve">Cummins Inc Common Stock USD 2.5 </t>
  </si>
  <si>
    <t xml:space="preserve">DENTSPLY SIRONA Inc Common Stock USD 0.01 </t>
  </si>
  <si>
    <t xml:space="preserve">DISH Network Corp Common Stock USD 0.01 </t>
  </si>
  <si>
    <t xml:space="preserve">DR Horton Inc Common Stock USD 0.01 </t>
  </si>
  <si>
    <t xml:space="preserve">DTE Energy Co Common Stock USD </t>
  </si>
  <si>
    <t xml:space="preserve">DXC Technology Co Common Stock USD 0.01 </t>
  </si>
  <si>
    <t xml:space="preserve">DaVita Inc Common Stock USD 0.001 </t>
  </si>
  <si>
    <t xml:space="preserve">Danaher Corp Common Stock USD 0.01 </t>
  </si>
  <si>
    <t xml:space="preserve">Darden Restaurants Inc Common Stock USD </t>
  </si>
  <si>
    <t xml:space="preserve">Deere &amp; Co Common Stock USD 1.0 </t>
  </si>
  <si>
    <t xml:space="preserve">Dell Technologies Inc Class V Tracking Stock USD </t>
  </si>
  <si>
    <t xml:space="preserve">Delta Air Lines Inc Common Stock USD 0.0001 </t>
  </si>
  <si>
    <t xml:space="preserve">Devon Energy Corp Common Stock USD 0.1 </t>
  </si>
  <si>
    <t xml:space="preserve">Diamondback Energy Inc Common Stock USD 0.01 </t>
  </si>
  <si>
    <t xml:space="preserve">Digital Realty Tst Inc REIT USD </t>
  </si>
  <si>
    <t xml:space="preserve">Discover Financial Services Common Stock USD 0.01 </t>
  </si>
  <si>
    <t xml:space="preserve">Discovery Inc Common Stock USD 0.01 </t>
  </si>
  <si>
    <t xml:space="preserve">Dollar General Corp Common Stock USD 0.875 </t>
  </si>
  <si>
    <t xml:space="preserve">Dollar Tree Inc Common Stock USD 0.01 </t>
  </si>
  <si>
    <t xml:space="preserve">Dominion Energy Inc Common Stock USD </t>
  </si>
  <si>
    <t xml:space="preserve">Domino's Pizza Inc Common Stock USD 0.01 </t>
  </si>
  <si>
    <t xml:space="preserve">Dover Corp Common Stock USD 1.0 </t>
  </si>
  <si>
    <t xml:space="preserve">DowDuPont Inc Common Stock USD 0.01 </t>
  </si>
  <si>
    <t xml:space="preserve">Duke Energy Corp Common Stock USD 0.001 </t>
  </si>
  <si>
    <t xml:space="preserve">Duke Realty Corp REIT USD </t>
  </si>
  <si>
    <t xml:space="preserve">E*TRADE Financial Corp Common Stock USD 0.01 </t>
  </si>
  <si>
    <t xml:space="preserve">EOG Resources Inc Common Stock USD 0.01 </t>
  </si>
  <si>
    <t xml:space="preserve">EQT Corp Common Stock USD </t>
  </si>
  <si>
    <t xml:space="preserve">East West Bancorp Inc Common Stock USD 0.001 </t>
  </si>
  <si>
    <t xml:space="preserve">Eastman Chemical Co Common Stock USD 0.01 </t>
  </si>
  <si>
    <t xml:space="preserve">Eaton Corp PLC Common Stock USD 0.01 </t>
  </si>
  <si>
    <t xml:space="preserve">Eaton Vance Corp Common Stock USD 0.00390625 </t>
  </si>
  <si>
    <t xml:space="preserve">Ecolab Inc Common Stock USD 1.0 </t>
  </si>
  <si>
    <t xml:space="preserve">Edison Intl Common Stock USD </t>
  </si>
  <si>
    <t xml:space="preserve">Edwards Lifesciences Corp Common Stock USD 1.0 </t>
  </si>
  <si>
    <t xml:space="preserve">Electronic Arts Inc Common Stock USD 0.01 </t>
  </si>
  <si>
    <t xml:space="preserve">Eli Lilly &amp; Co Common Stock USD </t>
  </si>
  <si>
    <t xml:space="preserve">Emerson Electric Co Common Stock USD 0.5 </t>
  </si>
  <si>
    <t xml:space="preserve">Entergy Corp Common Stock USD 0.01 </t>
  </si>
  <si>
    <t xml:space="preserve">Equinix Inc REIT USD </t>
  </si>
  <si>
    <t xml:space="preserve">Equity Residential REIT USD </t>
  </si>
  <si>
    <t xml:space="preserve">Essex Property Tst Inc REIT USD </t>
  </si>
  <si>
    <t xml:space="preserve">Estee Lauder Cos Inc/The Common Stock USD 0.01 CL A </t>
  </si>
  <si>
    <t xml:space="preserve">Everest Re Group Ltd Common Stock USD 0.01 </t>
  </si>
  <si>
    <t xml:space="preserve">Evergy Inc Common Stock USD </t>
  </si>
  <si>
    <t xml:space="preserve">Eversource Energy Common Stock USD 5.0 </t>
  </si>
  <si>
    <t xml:space="preserve">Exelon Corp Common Stock USD </t>
  </si>
  <si>
    <t xml:space="preserve">Expedia Group Inc Common Stock USD 0.001 </t>
  </si>
  <si>
    <t xml:space="preserve">Expeditors Intl of Washington Common Stock USD 0.01 </t>
  </si>
  <si>
    <t xml:space="preserve">Express Scripts Holding Co Common Stock USD 0.01 </t>
  </si>
  <si>
    <t xml:space="preserve">Extra Space Storage Inc REIT USD </t>
  </si>
  <si>
    <t xml:space="preserve">Exxon Mobil Corp Common Stock USD </t>
  </si>
  <si>
    <t xml:space="preserve">F5 Networks Inc Common Stock USD </t>
  </si>
  <si>
    <t xml:space="preserve">FLIR Systems Inc Common Stock USD 0.01 </t>
  </si>
  <si>
    <t xml:space="preserve">FMC Corp Common Stock USD 0.1 </t>
  </si>
  <si>
    <t xml:space="preserve">Facebook Inc Common Stock USD 0.000006 </t>
  </si>
  <si>
    <t xml:space="preserve">Fastenal Co Common Stock USD 0.01 </t>
  </si>
  <si>
    <t xml:space="preserve">FedEx Corp Common Stock USD 0.1 </t>
  </si>
  <si>
    <t xml:space="preserve">Federal Realty Investment Tst REIT USD </t>
  </si>
  <si>
    <t xml:space="preserve">Fidelity National Financial In Common Stock USD 0.0001 </t>
  </si>
  <si>
    <t xml:space="preserve">Fidelity National Information Common Stock USD 0.01 </t>
  </si>
  <si>
    <t xml:space="preserve">Fifth Third Bancorp Common Stock USD </t>
  </si>
  <si>
    <t xml:space="preserve">First Data Corp Common Stock USD 0.01 CL A </t>
  </si>
  <si>
    <t xml:space="preserve">First Republic Bk/CA Common Stock USD 0.01 </t>
  </si>
  <si>
    <t xml:space="preserve">FirstEnergy Corp Common Stock USD 0.1 </t>
  </si>
  <si>
    <t xml:space="preserve">Fiserv Inc Common Stock USD 0.01 </t>
  </si>
  <si>
    <t xml:space="preserve">FleetCor Technologies Inc Common Stock USD 0.001 </t>
  </si>
  <si>
    <t xml:space="preserve">Flex Ltd Common Stock USD </t>
  </si>
  <si>
    <t xml:space="preserve">Flowserve Corp Common Stock USD 1.25 </t>
  </si>
  <si>
    <t xml:space="preserve">Ford Motor Co Common Stock USD 0.01 </t>
  </si>
  <si>
    <t xml:space="preserve">Fortinet Inc Common Stock USD 0.001 </t>
  </si>
  <si>
    <t xml:space="preserve">Fortive Corp Common Stock USD 0.01 </t>
  </si>
  <si>
    <t xml:space="preserve">Fortune Brands Home &amp; Security Common Stock USD 0.01 </t>
  </si>
  <si>
    <t xml:space="preserve">Franklin Resources Inc Common Stock USD 0.1 </t>
  </si>
  <si>
    <t xml:space="preserve">GGP Inc REIT USD </t>
  </si>
  <si>
    <t xml:space="preserve">Gap Inc/The Common Stock USD 0.05 </t>
  </si>
  <si>
    <t xml:space="preserve">Garmin Ltd Common Stock USD 0.1 </t>
  </si>
  <si>
    <t xml:space="preserve">Gartner Inc Common Stock USD 0.0005 </t>
  </si>
  <si>
    <t xml:space="preserve">General Electric Co Common Stock USD 0.06 </t>
  </si>
  <si>
    <t xml:space="preserve">General Mills Inc Common Stock USD 0.1 </t>
  </si>
  <si>
    <t xml:space="preserve">Genuine Parts Co Common Stock USD 1.0 </t>
  </si>
  <si>
    <t xml:space="preserve">Gilead Sciences Inc Common Stock USD 0.001 </t>
  </si>
  <si>
    <t xml:space="preserve">Global Payments Inc Common Stock USD </t>
  </si>
  <si>
    <t xml:space="preserve">GoDaddy Inc Common Stock USD 0.001 CL A </t>
  </si>
  <si>
    <t xml:space="preserve">Goldman Sachs Group Inc/The Common Stock USD 0.01 </t>
  </si>
  <si>
    <t xml:space="preserve">Goodyear Tire &amp; Rubber Co/The Common Stock USD </t>
  </si>
  <si>
    <t xml:space="preserve">H&amp;R Block Inc Common Stock USD </t>
  </si>
  <si>
    <t xml:space="preserve">HCA Healthcare Inc Common Stock USD 0.01 </t>
  </si>
  <si>
    <t xml:space="preserve">HCP Inc REIT USD </t>
  </si>
  <si>
    <t xml:space="preserve">HD Supply Holdings Inc Common Stock USD 0.01 </t>
  </si>
  <si>
    <t xml:space="preserve">HP Inc Common Stock USD 0.01 </t>
  </si>
  <si>
    <t xml:space="preserve">Halliburton Co Common Stock USD 2.5 </t>
  </si>
  <si>
    <t xml:space="preserve">Hanesbrands Inc Common Stock USD 0.01 </t>
  </si>
  <si>
    <t xml:space="preserve">Harley-Davidson Inc Common Stock USD 0.01 </t>
  </si>
  <si>
    <t xml:space="preserve">Harris Corp Common Stock USD 1.0 </t>
  </si>
  <si>
    <t xml:space="preserve">Hartford Financial Services Gr Common Stock USD 0.01 </t>
  </si>
  <si>
    <t xml:space="preserve">Hasbro Inc Common Stock USD 0.5 </t>
  </si>
  <si>
    <t xml:space="preserve">Helmerich &amp; Payne Inc Common Stock USD 0.1 </t>
  </si>
  <si>
    <t xml:space="preserve">Henry Schein Inc Common Stock USD 0.01 </t>
  </si>
  <si>
    <t xml:space="preserve">Hershey Co/The Common Stock USD 1.0 </t>
  </si>
  <si>
    <t xml:space="preserve">Hess Corp Common Stock USD 1.0 </t>
  </si>
  <si>
    <t xml:space="preserve">Hewlett Packard Enterprise Co Common Stock USD 0.01 </t>
  </si>
  <si>
    <t xml:space="preserve">Hilton Worldwide Holdings Inc Common Stock USD 0.01 </t>
  </si>
  <si>
    <t xml:space="preserve">HollyFrontier Corp Common Stock USD 0.01 </t>
  </si>
  <si>
    <t xml:space="preserve">Hologic Inc Common Stock USD 0.01 </t>
  </si>
  <si>
    <t xml:space="preserve">Home Depot Inc/The Common Stock USD 0.05 </t>
  </si>
  <si>
    <t xml:space="preserve">Hongkong Land Holdings Ltd Ordinary USD 0.1 </t>
  </si>
  <si>
    <t xml:space="preserve">Hormel Foods Corp Common Stock USD 0.01465 </t>
  </si>
  <si>
    <t xml:space="preserve">Host Hotels &amp; Resorts Inc REIT USD </t>
  </si>
  <si>
    <t xml:space="preserve">Humana Inc Common Stock USD 0.166 </t>
  </si>
  <si>
    <t xml:space="preserve">Huntington Bancshares Inc/OH Common Stock USD 0.01 </t>
  </si>
  <si>
    <t xml:space="preserve">IAC/InterActiveCorp Common Stock USD 0.001 </t>
  </si>
  <si>
    <t xml:space="preserve">IDEX Corp Common Stock USD 0.01 </t>
  </si>
  <si>
    <t xml:space="preserve">IDEXX Laboratories Inc Common Stock USD 0.1 </t>
  </si>
  <si>
    <t xml:space="preserve">IHS Markit Ltd Common Stock USD 0.01 </t>
  </si>
  <si>
    <t xml:space="preserve">IPG Photonics Corp Common Stock USD 0.0001 </t>
  </si>
  <si>
    <t xml:space="preserve">IQVIA Holdings Inc Common Stock USD 0.01 </t>
  </si>
  <si>
    <t xml:space="preserve">Illinois Tool Works Inc Common Stock USD 0.01 </t>
  </si>
  <si>
    <t xml:space="preserve">Illumina Inc Common Stock USD 0.01 </t>
  </si>
  <si>
    <t xml:space="preserve">Incyte Corp Common Stock USD 0.001 </t>
  </si>
  <si>
    <t xml:space="preserve">Ingersoll-Rand PLC Common Stock USD 1.0 </t>
  </si>
  <si>
    <t xml:space="preserve">Ingredion Inc Common Stock USD 0.01 </t>
  </si>
  <si>
    <t xml:space="preserve">Intel Corp Common Stock USD 0.001 </t>
  </si>
  <si>
    <t xml:space="preserve">Intercontinental Exch Inc Common Stock USD 0.01 </t>
  </si>
  <si>
    <t xml:space="preserve">Interpublic Group of Cos Inc/T Common Stock USD 0.1 </t>
  </si>
  <si>
    <t xml:space="preserve">Intl Bus Machines Corp Common Stock USD 0.2 </t>
  </si>
  <si>
    <t xml:space="preserve">Intl Flavors &amp; Fragrances Inc Common Stock USD 0.125 </t>
  </si>
  <si>
    <t xml:space="preserve">Intl Paper Co Common Stock USD 1.0 </t>
  </si>
  <si>
    <t xml:space="preserve">Intuit Inc Common Stock USD 0.01 </t>
  </si>
  <si>
    <t xml:space="preserve">Intuitive Surgical Inc Common Stock USD 0.001 </t>
  </si>
  <si>
    <t xml:space="preserve">Invesco Ltd Common Stock USD 0.2 </t>
  </si>
  <si>
    <t xml:space="preserve">Iron Mountain Inc REIT USD </t>
  </si>
  <si>
    <t xml:space="preserve">JB Hunt Transport Services Inc Common Stock USD 0.01 </t>
  </si>
  <si>
    <t xml:space="preserve">JM Smucker Co/The Common Stock USD </t>
  </si>
  <si>
    <t xml:space="preserve">JPMorgan Chase &amp; Co Common Stock USD 1.0 </t>
  </si>
  <si>
    <t xml:space="preserve">Jack Henry &amp; Associates Inc Common Stock USD 0.01 </t>
  </si>
  <si>
    <t xml:space="preserve">Jardine Matheson Holdings Ltd Ordinary USD 0.25 </t>
  </si>
  <si>
    <t xml:space="preserve">Jardine Strategic Holdings Ltd Ordinary USD 0.05 </t>
  </si>
  <si>
    <t xml:space="preserve">Jazz Pharmaceuticals PLC Common Stock USD 0.0001 </t>
  </si>
  <si>
    <t xml:space="preserve">Jefferies Financial Group Inc Common Stock USD 1.0 </t>
  </si>
  <si>
    <t xml:space="preserve">Johnson Controls Intl plc Common Stock USD 0.01 </t>
  </si>
  <si>
    <t xml:space="preserve">Jones Lang LaSalle Inc Common Stock USD 0.01 </t>
  </si>
  <si>
    <t xml:space="preserve">Juniper Networks Inc Common Stock USD 0.00001 </t>
  </si>
  <si>
    <t xml:space="preserve">KLA-Tencor Corp Common Stock USD 0.001 </t>
  </si>
  <si>
    <t xml:space="preserve">Kansas City Southern Common Stock USD 0.01 </t>
  </si>
  <si>
    <t xml:space="preserve">Kellogg Co Common Stock USD 0.25 </t>
  </si>
  <si>
    <t xml:space="preserve">KeyCorp Common Stock USD 1.0 </t>
  </si>
  <si>
    <t xml:space="preserve">Keysight Technologies Inc Common Stock USD </t>
  </si>
  <si>
    <t xml:space="preserve">Kimberly-Clark Corp Common Stock USD 1.25 </t>
  </si>
  <si>
    <t xml:space="preserve">Kimco Realty Corp REIT USD </t>
  </si>
  <si>
    <t xml:space="preserve">Kinder Morgan Inc/DE Common Stock USD 0.01 </t>
  </si>
  <si>
    <t xml:space="preserve">Knight-Swift Transportation Ho Common Stock USD 0.001 </t>
  </si>
  <si>
    <t xml:space="preserve">Kohl's Corp Common Stock USD 0.01 </t>
  </si>
  <si>
    <t xml:space="preserve">Kraft Heinz Co/The Common Stock USD 0.01 </t>
  </si>
  <si>
    <t xml:space="preserve">Kroger Co/The Common Stock USD 1.0 </t>
  </si>
  <si>
    <t xml:space="preserve">L Brands Inc Common Stock USD 0.5 </t>
  </si>
  <si>
    <t xml:space="preserve">L3 Technologies Inc Common Stock USD 0.01 </t>
  </si>
  <si>
    <t xml:space="preserve">LKQ Corp Common Stock USD 0.01 </t>
  </si>
  <si>
    <t xml:space="preserve">Laboratory Corp of America Hol Common Stock USD 0.1 </t>
  </si>
  <si>
    <t xml:space="preserve">Lam Research Corp Common Stock USD 0.001 </t>
  </si>
  <si>
    <t xml:space="preserve">Las Vegas Sands Corp Common Stock USD 0.001 </t>
  </si>
  <si>
    <t xml:space="preserve">Lear Corp Common Stock USD 0.01 </t>
  </si>
  <si>
    <t xml:space="preserve">Leggett &amp; Platt Inc Common Stock USD 0.01 </t>
  </si>
  <si>
    <t xml:space="preserve">Leidos Holdings Inc Common Stock USD 0.0001 </t>
  </si>
  <si>
    <t xml:space="preserve">Lennar Corp Common Stock USD 0.1 </t>
  </si>
  <si>
    <t xml:space="preserve">Lennox Intl Inc Common Stock USD 0.01 </t>
  </si>
  <si>
    <t xml:space="preserve">Liberty Broadband Corp Common Stock USD 0.01 </t>
  </si>
  <si>
    <t xml:space="preserve">Liberty Global PLC Tracking Stock USD </t>
  </si>
  <si>
    <t xml:space="preserve">Liberty Media Corp-Liberty For Tracking Stock USD </t>
  </si>
  <si>
    <t xml:space="preserve">Liberty Media Corp-Liberty Sir Tracking Stock USD </t>
  </si>
  <si>
    <t xml:space="preserve">Liberty Property Tst REIT USD </t>
  </si>
  <si>
    <t xml:space="preserve">Lincoln National Corp Common Stock USD </t>
  </si>
  <si>
    <t xml:space="preserve">Live Nation Entertainment Inc Common Stock USD 0.01 </t>
  </si>
  <si>
    <t xml:space="preserve">Loews Corp Common Stock USD 0.01 </t>
  </si>
  <si>
    <t xml:space="preserve">Lowe's Cos Inc Common Stock USD 0.5 </t>
  </si>
  <si>
    <t xml:space="preserve">Lululemon Athletica Inc Common Stock USD 0.005 </t>
  </si>
  <si>
    <t xml:space="preserve">LyondellBasell Industries NV Common Stock USD 0.04 CL A </t>
  </si>
  <si>
    <t xml:space="preserve">M&amp;T Bk Corp Common Stock USD 0.5 </t>
  </si>
  <si>
    <t xml:space="preserve">MGM Resorts Intl Common Stock USD 0.01 </t>
  </si>
  <si>
    <t xml:space="preserve">Macerich Co/The REIT USD </t>
  </si>
  <si>
    <t xml:space="preserve">Macy's Inc Common Stock USD 0.01 </t>
  </si>
  <si>
    <t xml:space="preserve">ManpowerGroup Inc Common Stock USD 0.01 </t>
  </si>
  <si>
    <t xml:space="preserve">Marathon Oil Corp Common Stock USD 1.0 </t>
  </si>
  <si>
    <t xml:space="preserve">Marathon Pet Corp Common Stock USD </t>
  </si>
  <si>
    <t xml:space="preserve">Markel Corp Common Stock USD </t>
  </si>
  <si>
    <t xml:space="preserve">Marriott Intl Inc/MD Common Stock USD 0.01 CL A </t>
  </si>
  <si>
    <t xml:space="preserve">Marsh &amp; McLennan Cos Inc Common Stock USD 1.0 </t>
  </si>
  <si>
    <t xml:space="preserve">Martin Marietta Materials Inc Common Stock USD 0.01 </t>
  </si>
  <si>
    <t xml:space="preserve">Marvell Technology Group Ltd Common Stock USD 0.002 </t>
  </si>
  <si>
    <t xml:space="preserve">Masco Corp Common Stock USD 1.0 </t>
  </si>
  <si>
    <t xml:space="preserve">Mastercard Inc Common Stock USD 0.0001 </t>
  </si>
  <si>
    <t xml:space="preserve">Mattel Inc Common Stock USD 1.0 </t>
  </si>
  <si>
    <t xml:space="preserve">Maxim Integrated Products Inc Common Stock USD 0.001 </t>
  </si>
  <si>
    <t xml:space="preserve">McCormick &amp; Co Inc/MD Common Stock USD </t>
  </si>
  <si>
    <t xml:space="preserve">McDonald's Corp Common Stock USD 0.01 </t>
  </si>
  <si>
    <t xml:space="preserve">McKesson Corp Common Stock USD 0.01 </t>
  </si>
  <si>
    <t xml:space="preserve">Medtronic PLC Common Stock USD 0.1 </t>
  </si>
  <si>
    <t xml:space="preserve">Melco Resorts &amp; Entertainment ADR USD </t>
  </si>
  <si>
    <t xml:space="preserve">MercadoLibre Inc Common Stock USD 0.001 </t>
  </si>
  <si>
    <t xml:space="preserve">Merck &amp; Co Inc Common Stock USD 0.5 </t>
  </si>
  <si>
    <t xml:space="preserve">MetLife Inc Common Stock USD 0.01 </t>
  </si>
  <si>
    <t xml:space="preserve">Mettler-Toledo Intl Inc Common Stock USD 0.01 </t>
  </si>
  <si>
    <t xml:space="preserve">Michael Kors Holdings Ltd Common Stock USD </t>
  </si>
  <si>
    <t xml:space="preserve">Microchip Technology Inc Common Stock USD 0.001 </t>
  </si>
  <si>
    <t xml:space="preserve">Micron Technology Inc Common Stock USD 0.1 </t>
  </si>
  <si>
    <t xml:space="preserve">Microsoft Corp Common Stock USD 0.00000625 </t>
  </si>
  <si>
    <t xml:space="preserve">Mid-America Apartment Communit REIT USD </t>
  </si>
  <si>
    <t xml:space="preserve">Middleby Corp/The Common Stock USD 0.01 </t>
  </si>
  <si>
    <t xml:space="preserve">Mohawk Industries Inc Common Stock USD 0.01 </t>
  </si>
  <si>
    <t xml:space="preserve">Molson Coors Brewing Co Common Stock USD 0.01 </t>
  </si>
  <si>
    <t xml:space="preserve">Mondelez Intl Inc Common Stock USD </t>
  </si>
  <si>
    <t xml:space="preserve">Monster Beverage Corp Common Stock USD </t>
  </si>
  <si>
    <t xml:space="preserve">Moody's Corp Common Stock USD 0.01 </t>
  </si>
  <si>
    <t xml:space="preserve">Morgan Stanley Common Stock USD 0.01 </t>
  </si>
  <si>
    <t xml:space="preserve">Mosaic Co/The Common Stock USD 0.01 </t>
  </si>
  <si>
    <t xml:space="preserve">Motorola Solutions Inc Common Stock USD 0.01 </t>
  </si>
  <si>
    <t xml:space="preserve">Mylan NV Common Stock USD 0.01 </t>
  </si>
  <si>
    <t xml:space="preserve">NIKE Inc Common Stock USD 1.0 CL B </t>
  </si>
  <si>
    <t xml:space="preserve">NVIDIA Corp Common Stock USD 0.001 </t>
  </si>
  <si>
    <t xml:space="preserve">NVR Inc Common Stock USD 0.01 </t>
  </si>
  <si>
    <t xml:space="preserve">NXP Semiconductors NV Common Stock USD </t>
  </si>
  <si>
    <t xml:space="preserve">Nasdaq Inc Common Stock USD 0.01 </t>
  </si>
  <si>
    <t xml:space="preserve">National Oilwell Varco Inc Common Stock USD 0.01 </t>
  </si>
  <si>
    <t xml:space="preserve">National Retail Properties Inc REIT USD </t>
  </si>
  <si>
    <t xml:space="preserve">Nektar Therapeutics Common Stock USD 0.0001 </t>
  </si>
  <si>
    <t xml:space="preserve">NetApp Inc Common Stock USD 0.001 </t>
  </si>
  <si>
    <t xml:space="preserve">Netflix Inc Common Stock USD 0.001 </t>
  </si>
  <si>
    <t xml:space="preserve">New York Community Bancorp Inc Common Stock USD 0.01 </t>
  </si>
  <si>
    <t xml:space="preserve">Newell Brands Inc Common Stock USD 1.0 </t>
  </si>
  <si>
    <t xml:space="preserve">Newfield Exploration Co Common Stock USD 0.01 </t>
  </si>
  <si>
    <t xml:space="preserve">Newmont Mining Corp Common Stock USD 1.6 </t>
  </si>
  <si>
    <t xml:space="preserve">News Corp Common Stock USD 0.01 CL A </t>
  </si>
  <si>
    <t xml:space="preserve">NextEra Energy Inc Common Stock USD 0.01 </t>
  </si>
  <si>
    <t xml:space="preserve">NiSource Inc Common Stock USD 0.01 </t>
  </si>
  <si>
    <t xml:space="preserve">Nielsen Holdings PLC Common Stock USD 0.07 </t>
  </si>
  <si>
    <t xml:space="preserve">Noble Energy Inc Common Stock USD 0.01 </t>
  </si>
  <si>
    <t xml:space="preserve">Nordstrom Inc Common Stock USD </t>
  </si>
  <si>
    <t xml:space="preserve">Norfolk Southern Corp Common Stock USD 1.0 </t>
  </si>
  <si>
    <t xml:space="preserve">Northern Tst Corp Common Stock USD 1.667 </t>
  </si>
  <si>
    <t xml:space="preserve">Norwegian Cruise Line Holdings Common Stock USD 0.001 </t>
  </si>
  <si>
    <t xml:space="preserve">Nucor Corp Common Stock USD 0.4 </t>
  </si>
  <si>
    <t xml:space="preserve">O'Reilly Automotive Inc Common Stock USD 0.01 </t>
  </si>
  <si>
    <t xml:space="preserve">OGE Energy Corp Common Stock USD 0.01 </t>
  </si>
  <si>
    <t xml:space="preserve">ON Semiconductor Corp Common Stock USD 0.01 </t>
  </si>
  <si>
    <t xml:space="preserve">ONEOK Inc Common Stock USD 0.01 </t>
  </si>
  <si>
    <t xml:space="preserve">Occidental Pet Corp Common Stock USD 0.2 </t>
  </si>
  <si>
    <t xml:space="preserve">Old Dominion Freight Line Inc Common Stock USD 0.1 </t>
  </si>
  <si>
    <t xml:space="preserve">Omnicom Group Inc Common Stock USD 0.15 </t>
  </si>
  <si>
    <t xml:space="preserve">Oracle Corp Common Stock USD 0.01 </t>
  </si>
  <si>
    <t xml:space="preserve">Owens Corning Common Stock USD 0.001 </t>
  </si>
  <si>
    <t xml:space="preserve">PACCAR Inc Common Stock USD 1.0 </t>
  </si>
  <si>
    <t xml:space="preserve">PG&amp;E Corp Common Stock USD </t>
  </si>
  <si>
    <t xml:space="preserve">PNC Financial Services Group I Common Stock USD 5.0 </t>
  </si>
  <si>
    <t xml:space="preserve">PPG Industries Inc Common Stock USD 1.67 </t>
  </si>
  <si>
    <t xml:space="preserve">PPL Corp Common Stock USD 0.01 </t>
  </si>
  <si>
    <t xml:space="preserve">PVH Corp Common Stock USD 1.0 </t>
  </si>
  <si>
    <t xml:space="preserve">Packaging Corp of America Common Stock USD 0.01 </t>
  </si>
  <si>
    <t xml:space="preserve">Palo Alto Networks Inc Common Stock USD 0.0001 </t>
  </si>
  <si>
    <t xml:space="preserve">Parker-Hannifin Corp Common Stock USD 0.5 </t>
  </si>
  <si>
    <t xml:space="preserve">Parsley Energy Inc Common Stock USD 0.01 CL A </t>
  </si>
  <si>
    <t xml:space="preserve">PayPal Holdings Inc Common Stock USD 0.0001 </t>
  </si>
  <si>
    <t xml:space="preserve">Paychex Inc Common Stock USD 0.01 </t>
  </si>
  <si>
    <t xml:space="preserve">Pentair PLC Common Stock USD 0.01 </t>
  </si>
  <si>
    <t xml:space="preserve">People's Utd Financial Inc Common Stock USD 0.01 </t>
  </si>
  <si>
    <t xml:space="preserve">PepsiCo Inc Common Stock USD 0.017 </t>
  </si>
  <si>
    <t xml:space="preserve">Perrigo Co PLC Common Stock USD 0.001 </t>
  </si>
  <si>
    <t xml:space="preserve">Pfizer Inc Common Stock USD 0.05 </t>
  </si>
  <si>
    <t xml:space="preserve">Philip Morris Intl Inc Common Stock USD </t>
  </si>
  <si>
    <t xml:space="preserve">Phillips 66 Common Stock USD </t>
  </si>
  <si>
    <t xml:space="preserve">Pinnacle West Capital Corp Common Stock USD </t>
  </si>
  <si>
    <t xml:space="preserve">Pioneer Natural Resources Co Common Stock USD 0.01 </t>
  </si>
  <si>
    <t xml:space="preserve">Plains GP Holdings LP Common Stock USD CL A </t>
  </si>
  <si>
    <t xml:space="preserve">Polaris Industries Inc Common Stock USD 0.01 </t>
  </si>
  <si>
    <t xml:space="preserve">Praxair Inc Common Stock USD 0.01 </t>
  </si>
  <si>
    <t xml:space="preserve">Principal Financial Group Inc Common Stock USD 0.01 </t>
  </si>
  <si>
    <t xml:space="preserve">Procter &amp; Gamble Co/The Common Stock USD </t>
  </si>
  <si>
    <t xml:space="preserve">Progressive Corp/The Common Stock USD 1.0 </t>
  </si>
  <si>
    <t xml:space="preserve">Prologis Inc REIT USD </t>
  </si>
  <si>
    <t xml:space="preserve">Prudential Financial Inc Common Stock USD 0.01 </t>
  </si>
  <si>
    <t xml:space="preserve">Pub Service Enterprise Group I Common Stock USD </t>
  </si>
  <si>
    <t xml:space="preserve">Pub Storage REIT USD </t>
  </si>
  <si>
    <t xml:space="preserve">PulteGroup Inc Common Stock USD 0.01 </t>
  </si>
  <si>
    <t xml:space="preserve">QUALCOMM Inc Common Stock USD 0.0001 </t>
  </si>
  <si>
    <t xml:space="preserve">Qorvo Inc Common Stock USD 0.0001 </t>
  </si>
  <si>
    <t xml:space="preserve">Quest Diagnostics Inc Common Stock USD 0.01 </t>
  </si>
  <si>
    <t xml:space="preserve">Qurate Retail Inc Common Stock USD 0.01 </t>
  </si>
  <si>
    <t xml:space="preserve">Ralph Lauren Corp Common Stock USD 0.01 </t>
  </si>
  <si>
    <t xml:space="preserve">Raymond James Financial Inc Common Stock USD 0.01 </t>
  </si>
  <si>
    <t xml:space="preserve">Realty Income Corp REIT USD </t>
  </si>
  <si>
    <t xml:space="preserve">Red Hat Inc Common Stock USD 0.0001 </t>
  </si>
  <si>
    <t xml:space="preserve">Regency Centers Corp REIT USD </t>
  </si>
  <si>
    <t xml:space="preserve">Regeneron Pharmaceuticals Inc Common Stock USD 0.001 </t>
  </si>
  <si>
    <t xml:space="preserve">Regions Financial Corp Common Stock USD 0.01 </t>
  </si>
  <si>
    <t xml:space="preserve">Reinsurance Group of America I Common Stock USD 0.01 </t>
  </si>
  <si>
    <t xml:space="preserve">RenaissanceRe Holdings Ltd Common Stock USD 1.0 </t>
  </si>
  <si>
    <t xml:space="preserve">Republic Services Inc Common Stock USD 0.01 </t>
  </si>
  <si>
    <t xml:space="preserve">ResMed Inc Common Stock USD 0.004 </t>
  </si>
  <si>
    <t xml:space="preserve">Robert Half Intl Inc Common Stock USD 0.001 </t>
  </si>
  <si>
    <t xml:space="preserve">Rockwell Automation Inc Common Stock USD 1.0 </t>
  </si>
  <si>
    <t xml:space="preserve">Rockwell Collins Inc Common Stock USD 0.01 </t>
  </si>
  <si>
    <t xml:space="preserve">Rollins Inc Common Stock USD 1.0 </t>
  </si>
  <si>
    <t xml:space="preserve">Roper Technologies Inc Common Stock USD 0.01 </t>
  </si>
  <si>
    <t xml:space="preserve">Ross Stores Inc Common Stock USD 0.01 </t>
  </si>
  <si>
    <t xml:space="preserve">Royal Caribbean Cruises Ltd Common Stock USD 0.01 </t>
  </si>
  <si>
    <t xml:space="preserve">S&amp;P Global Inc Common Stock USD 1.0 </t>
  </si>
  <si>
    <t xml:space="preserve">SBA Communications Corp REIT USD </t>
  </si>
  <si>
    <t xml:space="preserve">SCANA Corp Common Stock USD </t>
  </si>
  <si>
    <t xml:space="preserve">SEI Investments Co Common Stock USD 0.01 </t>
  </si>
  <si>
    <t xml:space="preserve">SL Green Realty Corp REIT USD </t>
  </si>
  <si>
    <t xml:space="preserve">SS&amp;C Technologies Holdings Inc Common Stock USD 0.01 </t>
  </si>
  <si>
    <t xml:space="preserve">SVB Financial Group Common Stock USD 0.001 </t>
  </si>
  <si>
    <t xml:space="preserve">Sabre Corp Common Stock USD 0.01 </t>
  </si>
  <si>
    <t xml:space="preserve">Schlumberger Ltd Common Stock USD 0.01 </t>
  </si>
  <si>
    <t xml:space="preserve">Seagate Technology PLC Common Stock USD 0.00001 </t>
  </si>
  <si>
    <t xml:space="preserve">Sealed Air Corp Common Stock USD 0.1 </t>
  </si>
  <si>
    <t xml:space="preserve">Seattle Genetics Inc Common Stock USD 0.001 </t>
  </si>
  <si>
    <t xml:space="preserve">Sempra Energy Common Stock USD </t>
  </si>
  <si>
    <t xml:space="preserve">Sensata Technologies Holding P Common Stock USD 0.01 </t>
  </si>
  <si>
    <t xml:space="preserve">ServiceNow Inc Common Stock USD 0.001 </t>
  </si>
  <si>
    <t xml:space="preserve">Sherwin-Williams Co/The Common Stock USD 1.0 </t>
  </si>
  <si>
    <t xml:space="preserve">Signature Bk/New York NY Common Stock USD 0.01 </t>
  </si>
  <si>
    <t xml:space="preserve">Simon Property Group Inc REIT USD </t>
  </si>
  <si>
    <t xml:space="preserve">Sirius XM Holdings Inc Common Stock USD 0.001 </t>
  </si>
  <si>
    <t xml:space="preserve">Skyworks Solutions Inc Common Stock USD 0.25 </t>
  </si>
  <si>
    <t xml:space="preserve">Snap-on Inc Common Stock USD 1.0 </t>
  </si>
  <si>
    <t xml:space="preserve">Southern Co/The Common Stock USD 5.0 </t>
  </si>
  <si>
    <t xml:space="preserve">Southwest Airlines Co Common Stock USD 1.0 </t>
  </si>
  <si>
    <t xml:space="preserve">Spirit AeroSystems Holdings In Common Stock USD 0.01 CL A </t>
  </si>
  <si>
    <t xml:space="preserve">Splunk Inc Common Stock USD 0.001 </t>
  </si>
  <si>
    <t xml:space="preserve">Sprint Corp Common Stock USD 0.01 </t>
  </si>
  <si>
    <t xml:space="preserve">Square Inc Common Stock USD 0.000001 </t>
  </si>
  <si>
    <t xml:space="preserve">Stanley Black &amp; Decker Inc Common Stock USD 2.5 </t>
  </si>
  <si>
    <t xml:space="preserve">Starbucks Corp Common Stock USD 0.001 </t>
  </si>
  <si>
    <t xml:space="preserve">State Street Corp Common Stock USD 1.0 </t>
  </si>
  <si>
    <t xml:space="preserve">Steel Dynamics Inc Common Stock USD 0.005 </t>
  </si>
  <si>
    <t xml:space="preserve">Stericycle Inc Common Stock USD 0.01 </t>
  </si>
  <si>
    <t xml:space="preserve">Stryker Corp Common Stock USD 0.1 </t>
  </si>
  <si>
    <t xml:space="preserve">SunTst Bks Inc Common Stock USD 1.0 </t>
  </si>
  <si>
    <t xml:space="preserve">Symantec Corp Common Stock USD 0.01 </t>
  </si>
  <si>
    <t xml:space="preserve">Synchrony Financial Common Stock USD 0.001 </t>
  </si>
  <si>
    <t xml:space="preserve">Synopsys Inc Common Stock USD 0.01 </t>
  </si>
  <si>
    <t xml:space="preserve">Sysco Corp Common Stock USD 1.0 </t>
  </si>
  <si>
    <t xml:space="preserve">T Rowe Price Group Inc Common Stock USD 0.2 </t>
  </si>
  <si>
    <t xml:space="preserve">T-Mobile US Inc Common Stock USD 0.0001 </t>
  </si>
  <si>
    <t xml:space="preserve">TD Ameritrade Holding Corp Common Stock USD 0.01 </t>
  </si>
  <si>
    <t xml:space="preserve">TE Connectivity Ltd Common Stock USD 0.57 </t>
  </si>
  <si>
    <t xml:space="preserve">TJX Cos Inc/The Common Stock USD 1.0 </t>
  </si>
  <si>
    <t xml:space="preserve">Take-Two Interactive Software Common Stock USD 0.01 </t>
  </si>
  <si>
    <t xml:space="preserve">Tapestry Inc Common Stock USD 0.01 </t>
  </si>
  <si>
    <t xml:space="preserve">Targa Resources Corp Common Stock USD 0.001 </t>
  </si>
  <si>
    <t xml:space="preserve">Target Corp Common Stock USD 0.0833 </t>
  </si>
  <si>
    <t xml:space="preserve">TechnipFMC PLC Common Stock USD 1.0 </t>
  </si>
  <si>
    <t xml:space="preserve">Teleflex Inc Common Stock USD 1.0 </t>
  </si>
  <si>
    <t xml:space="preserve">Tesla Inc Common Stock USD 0.001 </t>
  </si>
  <si>
    <t xml:space="preserve">Teva Pharmaceutical Industries ADR USD </t>
  </si>
  <si>
    <t xml:space="preserve">Texas Instruments Inc Common Stock USD 1.0 </t>
  </si>
  <si>
    <t xml:space="preserve">Thermo Fisher Scientific Inc Common Stock USD 1.0 </t>
  </si>
  <si>
    <t xml:space="preserve">Tiffany &amp; Co Common Stock USD 0.01 </t>
  </si>
  <si>
    <t xml:space="preserve">Toll Brothers Inc Common Stock USD 0.01 </t>
  </si>
  <si>
    <t xml:space="preserve">Torchmark Corp Common Stock USD 1.0 </t>
  </si>
  <si>
    <t xml:space="preserve">Total System Services Inc Common Stock USD 0.1 </t>
  </si>
  <si>
    <t xml:space="preserve">Tractor Supply Co Common Stock USD 0.008 </t>
  </si>
  <si>
    <t xml:space="preserve">TransDigm Group Inc Common Stock USD 0.01 </t>
  </si>
  <si>
    <t xml:space="preserve">TransUnion Common Stock USD 0.01 </t>
  </si>
  <si>
    <t xml:space="preserve">Travelers Cos Inc/The Common Stock USD </t>
  </si>
  <si>
    <t xml:space="preserve">Trimble Inc Common Stock USD </t>
  </si>
  <si>
    <t xml:space="preserve">TripAdvisor Inc Common Stock USD 0.001 </t>
  </si>
  <si>
    <t xml:space="preserve">Twenty-First Century Fox Inc Common Stock USD 0.01 </t>
  </si>
  <si>
    <t xml:space="preserve">Twitter Inc Common Stock USD 0.000005 </t>
  </si>
  <si>
    <t xml:space="preserve">Tyson Foods Inc Common Stock USD 0.1 CL A </t>
  </si>
  <si>
    <t xml:space="preserve">UDR Inc REIT USD </t>
  </si>
  <si>
    <t xml:space="preserve">UGI Corp Common Stock USD </t>
  </si>
  <si>
    <t xml:space="preserve">US Bancorp Common Stock USD 0.01 </t>
  </si>
  <si>
    <t xml:space="preserve">Ulta Beauty Inc Common Stock USD </t>
  </si>
  <si>
    <t xml:space="preserve">Under Armour Inc Common Stock USD 0.000333 </t>
  </si>
  <si>
    <t xml:space="preserve">Under Armour Inc Common Stock USD 0.000333 CL A </t>
  </si>
  <si>
    <t xml:space="preserve">Union Pacific Corp Common Stock USD 2.5 </t>
  </si>
  <si>
    <t xml:space="preserve">Universal Health Services Inc Common Stock USD 0.01 </t>
  </si>
  <si>
    <t xml:space="preserve">Unum Group Common Stock USD 0.1 </t>
  </si>
  <si>
    <t xml:space="preserve">Utd Continental Holdings Inc Common Stock USD 0.01 </t>
  </si>
  <si>
    <t xml:space="preserve">Utd Parcel Service Inc Common Stock USD 0.01 CL B </t>
  </si>
  <si>
    <t xml:space="preserve">Utd Rentals Inc Common Stock USD 0.01 </t>
  </si>
  <si>
    <t xml:space="preserve">Utd Technologies Corp Common Stock USD 1.0 </t>
  </si>
  <si>
    <t xml:space="preserve">Utd Therapeutics Corp Common Stock USD 0.01 </t>
  </si>
  <si>
    <t xml:space="preserve">UtdHealth Group Inc Common Stock USD 0.01 </t>
  </si>
  <si>
    <t xml:space="preserve">VEREIT Inc REIT USD </t>
  </si>
  <si>
    <t xml:space="preserve">VF Corp Common Stock USD </t>
  </si>
  <si>
    <t xml:space="preserve">VMware Inc Common Stock USD 0.01 CL A </t>
  </si>
  <si>
    <t xml:space="preserve">Vail Resorts Inc Common Stock USD 0.01 </t>
  </si>
  <si>
    <t xml:space="preserve">Valero Energy Corp Common Stock USD 0.01 </t>
  </si>
  <si>
    <t xml:space="preserve">Varian Medical Systems Inc Common Stock USD 1.0 </t>
  </si>
  <si>
    <t xml:space="preserve">Veeva Systems Inc Common Stock USD 0.00001 CL A </t>
  </si>
  <si>
    <t xml:space="preserve">Ventas Inc REIT USD </t>
  </si>
  <si>
    <t xml:space="preserve">VeriSign Inc Common Stock USD 0.001 </t>
  </si>
  <si>
    <t xml:space="preserve">Verisk Analytics Inc Common Stock USD 0.001 </t>
  </si>
  <si>
    <t xml:space="preserve">Verizon Communications Inc Common Stock USD 0.1 </t>
  </si>
  <si>
    <t xml:space="preserve">Vertex Pharmaceuticals Inc Common Stock USD 0.01 </t>
  </si>
  <si>
    <t xml:space="preserve">Viacom Inc Common Stock USD 0.001 CL B </t>
  </si>
  <si>
    <t xml:space="preserve">Visa Inc Common Stock USD 0.0001 CL A </t>
  </si>
  <si>
    <t xml:space="preserve">Vornado Realty Tst REIT USD </t>
  </si>
  <si>
    <t xml:space="preserve">Voya Financial Inc Common Stock USD 0.01 </t>
  </si>
  <si>
    <t xml:space="preserve">Vulcan Materials Co Common Stock USD 1.0 </t>
  </si>
  <si>
    <t xml:space="preserve">WABCO Holdings Inc Common Stock USD 0.01 </t>
  </si>
  <si>
    <t xml:space="preserve">WEC Energy Group Inc Common Stock USD 0.01 </t>
  </si>
  <si>
    <t xml:space="preserve">WR Berkley Corp Common Stock USD 0.2 </t>
  </si>
  <si>
    <t xml:space="preserve">WW Grainger Inc Common Stock USD 0.5 </t>
  </si>
  <si>
    <t xml:space="preserve">Wabtec Corp/DE Common Stock USD 0.01 </t>
  </si>
  <si>
    <t xml:space="preserve">Walgreens Boots Alliance Inc Common Stock USD 0.01 </t>
  </si>
  <si>
    <t xml:space="preserve">Walt Disney Co/The Common Stock USD 0.01 </t>
  </si>
  <si>
    <t xml:space="preserve">Waste Connections Inc Common Stock USD </t>
  </si>
  <si>
    <t xml:space="preserve">Waste Mgt Inc Common Stock USD 0.01 </t>
  </si>
  <si>
    <t xml:space="preserve">Waters Corp Common Stock USD 0.01 </t>
  </si>
  <si>
    <t xml:space="preserve">Welltower Inc REIT USD </t>
  </si>
  <si>
    <t xml:space="preserve">WestRock Co Common Stock USD </t>
  </si>
  <si>
    <t xml:space="preserve">Western Digital Corp Common Stock USD 0.01 </t>
  </si>
  <si>
    <t xml:space="preserve">Western Union Co/The Common Stock USD 0.01 </t>
  </si>
  <si>
    <t xml:space="preserve">Weyerhaeuser Co REIT USD </t>
  </si>
  <si>
    <t xml:space="preserve">Whirlpool Corp Common Stock USD 1.0 </t>
  </si>
  <si>
    <t xml:space="preserve">Williams Cos Inc/The Common Stock USD 1.0 </t>
  </si>
  <si>
    <t xml:space="preserve">Willis Towers Watson PLC Common Stock USD 0.00030463 </t>
  </si>
  <si>
    <t xml:space="preserve">Workday Inc Common Stock USD 0.001 CL A </t>
  </si>
  <si>
    <t xml:space="preserve">Worldpay Inc Common Stock USD 0.00001 CL A </t>
  </si>
  <si>
    <t xml:space="preserve">Wynn Resorts Ltd Common Stock USD 0.01 </t>
  </si>
  <si>
    <t xml:space="preserve">XL Group Ltd Common Stock USD </t>
  </si>
  <si>
    <t xml:space="preserve">XPO Logistics Inc Common Stock USD 0.001 </t>
  </si>
  <si>
    <t xml:space="preserve">Xcel Energy Inc Common Stock USD 2.5 </t>
  </si>
  <si>
    <t xml:space="preserve">Xerox Corp Common Stock USD 1.0 </t>
  </si>
  <si>
    <t xml:space="preserve">Xilinx Inc Common Stock USD 0.01 </t>
  </si>
  <si>
    <t xml:space="preserve">Xylem Inc/NY Common Stock USD </t>
  </si>
  <si>
    <t xml:space="preserve">Yum! Brands Inc Common Stock USD </t>
  </si>
  <si>
    <t xml:space="preserve">Zayo Group Holdings Inc Common Stock USD 0.001 </t>
  </si>
  <si>
    <t xml:space="preserve">Zillow Group Inc Common Stock USD </t>
  </si>
  <si>
    <t xml:space="preserve">Zimmer Biomet Holdings Inc Common Stock USD 0.01 </t>
  </si>
  <si>
    <t xml:space="preserve">Zions Bancorporation Common Stock USD </t>
  </si>
  <si>
    <t xml:space="preserve">Zoetis Inc Common Stock USD 0.01 </t>
  </si>
  <si>
    <t xml:space="preserve">eBay Inc Common Stock USD 0.001 </t>
  </si>
  <si>
    <t xml:space="preserve">salesforce.com Inc Common Stock USD 0.001 </t>
  </si>
  <si>
    <t xml:space="preserve">CME E-Mini Standard &amp; Poor's 5 Sep 2018 </t>
  </si>
  <si>
    <t xml:space="preserve">                                                                          </t>
  </si>
  <si>
    <t>Accrued Expense</t>
  </si>
  <si>
    <t xml:space="preserve">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</si>
</sst>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4"/>
  <sheetViews>
    <sheetView tabSelected="1" workbookViewId="0">
      <selection activeCell="E13" sqref="E13"/>
    </sheetView>
  </sheetViews>
  <sheetFormatPr defaultRowHeight="15" x14ac:dyDescent="0.25"/>
  <cols>
    <col min="1" max="1" width="8.85546875" bestFit="1" customWidth="1"/>
    <col min="2" max="2" width="13.5703125" bestFit="1" customWidth="1"/>
    <col min="3" max="3" width="22.140625" bestFit="1" customWidth="1"/>
    <col min="4" max="4" width="11" bestFit="1" customWidth="1"/>
    <col min="5" max="5" width="55.7109375" bestFit="1" customWidth="1"/>
    <col min="6" max="6" width="13.85546875" bestFit="1" customWidth="1"/>
    <col min="7" max="7" width="10.7109375" bestFit="1" customWidth="1"/>
    <col min="8" max="8" width="4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25">
      <c r="A2" t="str">
        <f t="shared" ref="A2:A65" si="0">"31-Jul-18"</f>
        <v>31-Jul-18</v>
      </c>
      <c r="B2" t="s">
        <v>7</v>
      </c>
      <c r="C2" t="s">
        <v>8</v>
      </c>
      <c r="D2" t="str">
        <f>"BSS7GP5"</f>
        <v>BSS7GP5</v>
      </c>
      <c r="E2" t="s">
        <v>9</v>
      </c>
      <c r="F2" t="s">
        <v>10</v>
      </c>
      <c r="G2">
        <v>2.1000000000000001E-2</v>
      </c>
      <c r="H2" t="s">
        <v>11</v>
      </c>
    </row>
    <row r="3" spans="1:8" x14ac:dyDescent="0.25">
      <c r="A3" t="str">
        <f t="shared" si="0"/>
        <v>31-Jul-18</v>
      </c>
      <c r="B3" t="s">
        <v>7</v>
      </c>
      <c r="C3" t="s">
        <v>8</v>
      </c>
      <c r="D3" t="str">
        <f>"6709958"</f>
        <v>6709958</v>
      </c>
      <c r="E3" t="s">
        <v>12</v>
      </c>
      <c r="F3" t="s">
        <v>10</v>
      </c>
      <c r="G3">
        <v>2.7E-2</v>
      </c>
      <c r="H3" t="s">
        <v>11</v>
      </c>
    </row>
    <row r="4" spans="1:8" x14ac:dyDescent="0.25">
      <c r="A4" t="str">
        <f t="shared" si="0"/>
        <v>31-Jul-18</v>
      </c>
      <c r="B4" t="s">
        <v>7</v>
      </c>
      <c r="C4" t="s">
        <v>8</v>
      </c>
      <c r="D4" t="str">
        <f>"6247306"</f>
        <v>6247306</v>
      </c>
      <c r="E4" t="s">
        <v>13</v>
      </c>
      <c r="F4" t="s">
        <v>10</v>
      </c>
      <c r="G4">
        <v>3.4000000000000002E-2</v>
      </c>
      <c r="H4" t="s">
        <v>11</v>
      </c>
    </row>
    <row r="5" spans="1:8" x14ac:dyDescent="0.25">
      <c r="A5" t="str">
        <f t="shared" si="0"/>
        <v>31-Jul-18</v>
      </c>
      <c r="B5" t="s">
        <v>7</v>
      </c>
      <c r="C5" t="s">
        <v>8</v>
      </c>
      <c r="D5" t="str">
        <f>"6129222"</f>
        <v>6129222</v>
      </c>
      <c r="E5" t="s">
        <v>14</v>
      </c>
      <c r="F5" t="s">
        <v>10</v>
      </c>
      <c r="G5">
        <v>3.7999999999999999E-2</v>
      </c>
      <c r="H5" t="s">
        <v>11</v>
      </c>
    </row>
    <row r="6" spans="1:8" x14ac:dyDescent="0.25">
      <c r="A6" t="str">
        <f t="shared" si="0"/>
        <v>31-Jul-18</v>
      </c>
      <c r="B6" t="s">
        <v>7</v>
      </c>
      <c r="C6" t="s">
        <v>8</v>
      </c>
      <c r="D6" t="str">
        <f>"6954985"</f>
        <v>6954985</v>
      </c>
      <c r="E6" t="s">
        <v>15</v>
      </c>
      <c r="F6" t="s">
        <v>10</v>
      </c>
      <c r="G6">
        <v>0.02</v>
      </c>
      <c r="H6" t="s">
        <v>11</v>
      </c>
    </row>
    <row r="7" spans="1:8" x14ac:dyDescent="0.25">
      <c r="A7" t="str">
        <f t="shared" si="0"/>
        <v>31-Jul-18</v>
      </c>
      <c r="B7" t="s">
        <v>7</v>
      </c>
      <c r="C7" t="s">
        <v>8</v>
      </c>
      <c r="D7" t="str">
        <f>"6066608"</f>
        <v>6066608</v>
      </c>
      <c r="E7" t="s">
        <v>16</v>
      </c>
      <c r="F7" t="s">
        <v>10</v>
      </c>
      <c r="G7">
        <v>5.3999999999999999E-2</v>
      </c>
      <c r="H7" t="s">
        <v>11</v>
      </c>
    </row>
    <row r="8" spans="1:8" x14ac:dyDescent="0.25">
      <c r="A8" t="str">
        <f t="shared" si="0"/>
        <v>31-Jul-18</v>
      </c>
      <c r="B8" t="s">
        <v>7</v>
      </c>
      <c r="C8" t="s">
        <v>8</v>
      </c>
      <c r="D8" t="str">
        <f>"6253983"</f>
        <v>6253983</v>
      </c>
      <c r="E8" t="s">
        <v>17</v>
      </c>
      <c r="F8" t="s">
        <v>10</v>
      </c>
      <c r="G8">
        <v>2.5000000000000001E-2</v>
      </c>
      <c r="H8" t="s">
        <v>11</v>
      </c>
    </row>
    <row r="9" spans="1:8" x14ac:dyDescent="0.25">
      <c r="A9" t="str">
        <f t="shared" si="0"/>
        <v>31-Jul-18</v>
      </c>
      <c r="B9" t="s">
        <v>7</v>
      </c>
      <c r="C9" t="s">
        <v>8</v>
      </c>
      <c r="D9" t="str">
        <f>"B87CVM3"</f>
        <v>B87CVM3</v>
      </c>
      <c r="E9" t="s">
        <v>18</v>
      </c>
      <c r="F9" t="s">
        <v>10</v>
      </c>
      <c r="G9">
        <v>3.1E-2</v>
      </c>
      <c r="H9" t="s">
        <v>11</v>
      </c>
    </row>
    <row r="10" spans="1:8" x14ac:dyDescent="0.25">
      <c r="A10" t="str">
        <f t="shared" si="0"/>
        <v>31-Jul-18</v>
      </c>
      <c r="B10" t="s">
        <v>7</v>
      </c>
      <c r="C10" t="s">
        <v>8</v>
      </c>
      <c r="D10" t="str">
        <f>"BPXR7J0"</f>
        <v>BPXR7J0</v>
      </c>
      <c r="E10" t="s">
        <v>19</v>
      </c>
      <c r="F10" t="s">
        <v>10</v>
      </c>
      <c r="G10">
        <v>2E-3</v>
      </c>
      <c r="H10" t="s">
        <v>11</v>
      </c>
    </row>
    <row r="11" spans="1:8" x14ac:dyDescent="0.25">
      <c r="A11" t="str">
        <f t="shared" si="0"/>
        <v>31-Jul-18</v>
      </c>
      <c r="B11" t="s">
        <v>7</v>
      </c>
      <c r="C11" t="s">
        <v>8</v>
      </c>
      <c r="D11" t="str">
        <f>"6065586"</f>
        <v>6065586</v>
      </c>
      <c r="E11" t="s">
        <v>20</v>
      </c>
      <c r="F11" t="s">
        <v>10</v>
      </c>
      <c r="G11">
        <v>0.26500000000000001</v>
      </c>
      <c r="H11" t="s">
        <v>11</v>
      </c>
    </row>
    <row r="12" spans="1:8" x14ac:dyDescent="0.25">
      <c r="A12" t="str">
        <f t="shared" si="0"/>
        <v>31-Jul-18</v>
      </c>
      <c r="B12" t="s">
        <v>7</v>
      </c>
      <c r="C12" t="s">
        <v>8</v>
      </c>
      <c r="D12" t="str">
        <f>"6091280"</f>
        <v>6091280</v>
      </c>
      <c r="E12" t="s">
        <v>21</v>
      </c>
      <c r="F12" t="s">
        <v>10</v>
      </c>
      <c r="G12">
        <v>1.2E-2</v>
      </c>
      <c r="H12" t="s">
        <v>11</v>
      </c>
    </row>
    <row r="13" spans="1:8" x14ac:dyDescent="0.25">
      <c r="A13" t="str">
        <f t="shared" si="0"/>
        <v>31-Jul-18</v>
      </c>
      <c r="B13" t="s">
        <v>7</v>
      </c>
      <c r="C13" t="s">
        <v>8</v>
      </c>
      <c r="D13" t="str">
        <f>"6076243"</f>
        <v>6076243</v>
      </c>
      <c r="E13" t="s">
        <v>22</v>
      </c>
      <c r="F13" t="s">
        <v>10</v>
      </c>
      <c r="G13">
        <v>1E-3</v>
      </c>
      <c r="H13" t="s">
        <v>11</v>
      </c>
    </row>
    <row r="14" spans="1:8" x14ac:dyDescent="0.25">
      <c r="A14" t="str">
        <f t="shared" si="0"/>
        <v>31-Jul-18</v>
      </c>
      <c r="B14" t="s">
        <v>7</v>
      </c>
      <c r="C14" t="s">
        <v>8</v>
      </c>
      <c r="D14" t="str">
        <f>"6533232"</f>
        <v>6533232</v>
      </c>
      <c r="E14" t="s">
        <v>23</v>
      </c>
      <c r="F14" t="s">
        <v>10</v>
      </c>
      <c r="G14">
        <v>1.7999999999999999E-2</v>
      </c>
      <c r="H14" t="s">
        <v>11</v>
      </c>
    </row>
    <row r="15" spans="1:8" x14ac:dyDescent="0.25">
      <c r="A15" t="str">
        <f t="shared" si="0"/>
        <v>31-Jul-18</v>
      </c>
      <c r="B15" t="s">
        <v>7</v>
      </c>
      <c r="C15" t="s">
        <v>8</v>
      </c>
      <c r="D15" t="str">
        <f>"6218670"</f>
        <v>6218670</v>
      </c>
      <c r="E15" t="s">
        <v>24</v>
      </c>
      <c r="F15" t="s">
        <v>10</v>
      </c>
      <c r="G15">
        <v>2.3E-2</v>
      </c>
      <c r="H15" t="s">
        <v>11</v>
      </c>
    </row>
    <row r="16" spans="1:8" x14ac:dyDescent="0.25">
      <c r="A16" t="str">
        <f t="shared" si="0"/>
        <v>31-Jul-18</v>
      </c>
      <c r="B16" t="s">
        <v>7</v>
      </c>
      <c r="C16" t="s">
        <v>8</v>
      </c>
      <c r="D16" t="str">
        <f>"B1FJ0C0"</f>
        <v>B1FJ0C0</v>
      </c>
      <c r="E16" t="s">
        <v>25</v>
      </c>
      <c r="F16" t="s">
        <v>10</v>
      </c>
      <c r="G16">
        <v>5.8000000000000003E-2</v>
      </c>
      <c r="H16" t="s">
        <v>11</v>
      </c>
    </row>
    <row r="17" spans="1:8" x14ac:dyDescent="0.25">
      <c r="A17" t="str">
        <f t="shared" si="0"/>
        <v>31-Jul-18</v>
      </c>
      <c r="B17" t="s">
        <v>7</v>
      </c>
      <c r="C17" t="s">
        <v>8</v>
      </c>
      <c r="D17" t="str">
        <f>"BX17Q13"</f>
        <v>BX17Q13</v>
      </c>
      <c r="E17" t="s">
        <v>26</v>
      </c>
      <c r="F17" t="s">
        <v>10</v>
      </c>
      <c r="G17">
        <v>1.2999999999999999E-2</v>
      </c>
      <c r="H17" t="s">
        <v>11</v>
      </c>
    </row>
    <row r="18" spans="1:8" x14ac:dyDescent="0.25">
      <c r="A18" t="str">
        <f t="shared" si="0"/>
        <v>31-Jul-18</v>
      </c>
      <c r="B18" t="s">
        <v>7</v>
      </c>
      <c r="C18" t="s">
        <v>8</v>
      </c>
      <c r="D18" t="str">
        <f>"6185495"</f>
        <v>6185495</v>
      </c>
      <c r="E18" t="s">
        <v>27</v>
      </c>
      <c r="F18" t="s">
        <v>10</v>
      </c>
      <c r="G18">
        <v>0.17100000000000001</v>
      </c>
      <c r="H18" t="s">
        <v>11</v>
      </c>
    </row>
    <row r="19" spans="1:8" x14ac:dyDescent="0.25">
      <c r="A19" t="str">
        <f t="shared" si="0"/>
        <v>31-Jul-18</v>
      </c>
      <c r="B19" t="s">
        <v>7</v>
      </c>
      <c r="C19" t="s">
        <v>8</v>
      </c>
      <c r="D19" t="str">
        <f>"6161503"</f>
        <v>6161503</v>
      </c>
      <c r="E19" t="s">
        <v>28</v>
      </c>
      <c r="F19" t="s">
        <v>10</v>
      </c>
      <c r="G19">
        <v>2.4E-2</v>
      </c>
      <c r="H19" t="s">
        <v>11</v>
      </c>
    </row>
    <row r="20" spans="1:8" x14ac:dyDescent="0.25">
      <c r="A20" t="str">
        <f t="shared" si="0"/>
        <v>31-Jul-18</v>
      </c>
      <c r="B20" t="s">
        <v>7</v>
      </c>
      <c r="C20" t="s">
        <v>8</v>
      </c>
      <c r="D20" t="str">
        <f>"6726300"</f>
        <v>6726300</v>
      </c>
      <c r="E20" t="s">
        <v>29</v>
      </c>
      <c r="F20" t="s">
        <v>10</v>
      </c>
      <c r="G20">
        <v>1.2E-2</v>
      </c>
      <c r="H20" t="s">
        <v>11</v>
      </c>
    </row>
    <row r="21" spans="1:8" x14ac:dyDescent="0.25">
      <c r="A21" t="str">
        <f t="shared" si="0"/>
        <v>31-Jul-18</v>
      </c>
      <c r="B21" t="s">
        <v>7</v>
      </c>
      <c r="C21" t="s">
        <v>8</v>
      </c>
      <c r="D21" t="str">
        <f>"6123451"</f>
        <v>6123451</v>
      </c>
      <c r="E21" t="s">
        <v>30</v>
      </c>
      <c r="F21" t="s">
        <v>10</v>
      </c>
      <c r="G21">
        <v>1.0999999999999999E-2</v>
      </c>
      <c r="H21" t="s">
        <v>11</v>
      </c>
    </row>
    <row r="22" spans="1:8" x14ac:dyDescent="0.25">
      <c r="A22" t="str">
        <f t="shared" si="0"/>
        <v>31-Jul-18</v>
      </c>
      <c r="B22" t="s">
        <v>7</v>
      </c>
      <c r="C22" t="s">
        <v>8</v>
      </c>
      <c r="D22" t="str">
        <f>"6211798"</f>
        <v>6211798</v>
      </c>
      <c r="E22" t="s">
        <v>31</v>
      </c>
      <c r="F22" t="s">
        <v>10</v>
      </c>
      <c r="G22">
        <v>2.1000000000000001E-2</v>
      </c>
      <c r="H22" t="s">
        <v>11</v>
      </c>
    </row>
    <row r="23" spans="1:8" x14ac:dyDescent="0.25">
      <c r="A23" t="str">
        <f t="shared" si="0"/>
        <v>31-Jul-18</v>
      </c>
      <c r="B23" t="s">
        <v>7</v>
      </c>
      <c r="C23" t="s">
        <v>8</v>
      </c>
      <c r="D23" t="str">
        <f>"6215035"</f>
        <v>6215035</v>
      </c>
      <c r="E23" t="s">
        <v>32</v>
      </c>
      <c r="F23" t="s">
        <v>10</v>
      </c>
      <c r="G23">
        <v>0.40200000000000002</v>
      </c>
      <c r="H23" t="s">
        <v>11</v>
      </c>
    </row>
    <row r="24" spans="1:8" x14ac:dyDescent="0.25">
      <c r="A24" t="str">
        <f t="shared" si="0"/>
        <v>31-Jul-18</v>
      </c>
      <c r="B24" t="s">
        <v>7</v>
      </c>
      <c r="C24" t="s">
        <v>8</v>
      </c>
      <c r="D24" t="str">
        <f>"6180412"</f>
        <v>6180412</v>
      </c>
      <c r="E24" t="s">
        <v>33</v>
      </c>
      <c r="F24" t="s">
        <v>10</v>
      </c>
      <c r="G24">
        <v>0.01</v>
      </c>
      <c r="H24" t="s">
        <v>11</v>
      </c>
    </row>
    <row r="25" spans="1:8" x14ac:dyDescent="0.25">
      <c r="A25" t="str">
        <f t="shared" si="0"/>
        <v>31-Jul-18</v>
      </c>
      <c r="B25" t="s">
        <v>7</v>
      </c>
      <c r="C25" t="s">
        <v>8</v>
      </c>
      <c r="D25" t="str">
        <f>"B29LCJ0"</f>
        <v>B29LCJ0</v>
      </c>
      <c r="E25" t="s">
        <v>34</v>
      </c>
      <c r="F25" t="s">
        <v>10</v>
      </c>
      <c r="G25">
        <v>0.01</v>
      </c>
      <c r="H25" t="s">
        <v>11</v>
      </c>
    </row>
    <row r="26" spans="1:8" x14ac:dyDescent="0.25">
      <c r="A26" t="str">
        <f t="shared" si="0"/>
        <v>31-Jul-18</v>
      </c>
      <c r="B26" t="s">
        <v>7</v>
      </c>
      <c r="C26" t="s">
        <v>8</v>
      </c>
      <c r="D26" t="str">
        <f>"B033YN6"</f>
        <v>B033YN6</v>
      </c>
      <c r="E26" t="s">
        <v>35</v>
      </c>
      <c r="F26" t="s">
        <v>10</v>
      </c>
      <c r="G26">
        <v>3.2000000000000001E-2</v>
      </c>
      <c r="H26" t="s">
        <v>11</v>
      </c>
    </row>
    <row r="27" spans="1:8" x14ac:dyDescent="0.25">
      <c r="A27" t="str">
        <f t="shared" si="0"/>
        <v>31-Jul-18</v>
      </c>
      <c r="B27" t="s">
        <v>7</v>
      </c>
      <c r="C27" t="s">
        <v>8</v>
      </c>
      <c r="D27" t="str">
        <f>"6352147"</f>
        <v>6352147</v>
      </c>
      <c r="E27" t="s">
        <v>36</v>
      </c>
      <c r="F27" t="s">
        <v>10</v>
      </c>
      <c r="G27">
        <v>7.0000000000000001E-3</v>
      </c>
      <c r="H27" t="s">
        <v>11</v>
      </c>
    </row>
    <row r="28" spans="1:8" x14ac:dyDescent="0.25">
      <c r="A28" t="str">
        <f t="shared" si="0"/>
        <v>31-Jul-18</v>
      </c>
      <c r="B28" t="s">
        <v>7</v>
      </c>
      <c r="C28" t="s">
        <v>8</v>
      </c>
      <c r="D28" t="str">
        <f>"6086253"</f>
        <v>6086253</v>
      </c>
      <c r="E28" t="s">
        <v>37</v>
      </c>
      <c r="F28" t="s">
        <v>10</v>
      </c>
      <c r="G28">
        <v>1.0999999999999999E-2</v>
      </c>
      <c r="H28" t="s">
        <v>11</v>
      </c>
    </row>
    <row r="29" spans="1:8" x14ac:dyDescent="0.25">
      <c r="A29" t="str">
        <f t="shared" si="0"/>
        <v>31-Jul-18</v>
      </c>
      <c r="B29" t="s">
        <v>7</v>
      </c>
      <c r="C29" t="s">
        <v>8</v>
      </c>
      <c r="D29" t="str">
        <f>"6365866"</f>
        <v>6365866</v>
      </c>
      <c r="E29" t="s">
        <v>38</v>
      </c>
      <c r="F29" t="s">
        <v>10</v>
      </c>
      <c r="G29">
        <v>2.5000000000000001E-2</v>
      </c>
      <c r="H29" t="s">
        <v>11</v>
      </c>
    </row>
    <row r="30" spans="1:8" x14ac:dyDescent="0.25">
      <c r="A30" t="str">
        <f t="shared" si="0"/>
        <v>31-Jul-18</v>
      </c>
      <c r="B30" t="s">
        <v>7</v>
      </c>
      <c r="C30" t="s">
        <v>8</v>
      </c>
      <c r="D30" t="str">
        <f>"B03FYZ4"</f>
        <v>B03FYZ4</v>
      </c>
      <c r="E30" t="s">
        <v>39</v>
      </c>
      <c r="F30" t="s">
        <v>10</v>
      </c>
      <c r="G30">
        <v>5.3999999999999999E-2</v>
      </c>
      <c r="H30" t="s">
        <v>11</v>
      </c>
    </row>
    <row r="31" spans="1:8" x14ac:dyDescent="0.25">
      <c r="A31" t="str">
        <f t="shared" si="0"/>
        <v>31-Jul-18</v>
      </c>
      <c r="B31" t="s">
        <v>7</v>
      </c>
      <c r="C31" t="s">
        <v>8</v>
      </c>
      <c r="D31" t="str">
        <f>"6173508"</f>
        <v>6173508</v>
      </c>
      <c r="E31" t="s">
        <v>40</v>
      </c>
      <c r="F31" t="s">
        <v>10</v>
      </c>
      <c r="G31">
        <v>1E-3</v>
      </c>
      <c r="H31" t="s">
        <v>11</v>
      </c>
    </row>
    <row r="32" spans="1:8" x14ac:dyDescent="0.25">
      <c r="A32" t="str">
        <f t="shared" si="0"/>
        <v>31-Jul-18</v>
      </c>
      <c r="B32" t="s">
        <v>7</v>
      </c>
      <c r="C32" t="s">
        <v>8</v>
      </c>
      <c r="D32" t="str">
        <f>"BP46PW5"</f>
        <v>BP46PW5</v>
      </c>
      <c r="E32" t="s">
        <v>41</v>
      </c>
      <c r="F32" t="s">
        <v>10</v>
      </c>
      <c r="G32">
        <v>0.01</v>
      </c>
      <c r="H32" t="s">
        <v>11</v>
      </c>
    </row>
    <row r="33" spans="1:8" x14ac:dyDescent="0.25">
      <c r="A33" t="str">
        <f t="shared" si="0"/>
        <v>31-Jul-18</v>
      </c>
      <c r="B33" t="s">
        <v>7</v>
      </c>
      <c r="C33" t="s">
        <v>8</v>
      </c>
      <c r="D33" t="str">
        <f>"6673042"</f>
        <v>6673042</v>
      </c>
      <c r="E33" t="s">
        <v>42</v>
      </c>
      <c r="F33" t="s">
        <v>10</v>
      </c>
      <c r="G33">
        <v>0.01</v>
      </c>
      <c r="H33" t="s">
        <v>11</v>
      </c>
    </row>
    <row r="34" spans="1:8" x14ac:dyDescent="0.25">
      <c r="A34" t="str">
        <f t="shared" si="0"/>
        <v>31-Jul-18</v>
      </c>
      <c r="B34" t="s">
        <v>7</v>
      </c>
      <c r="C34" t="s">
        <v>8</v>
      </c>
      <c r="D34" t="str">
        <f>"6271026"</f>
        <v>6271026</v>
      </c>
      <c r="E34" t="s">
        <v>43</v>
      </c>
      <c r="F34" t="s">
        <v>10</v>
      </c>
      <c r="G34">
        <v>6.2E-2</v>
      </c>
      <c r="H34" t="s">
        <v>11</v>
      </c>
    </row>
    <row r="35" spans="1:8" x14ac:dyDescent="0.25">
      <c r="A35" t="str">
        <f t="shared" si="0"/>
        <v>31-Jul-18</v>
      </c>
      <c r="B35" t="s">
        <v>7</v>
      </c>
      <c r="C35" t="s">
        <v>8</v>
      </c>
      <c r="D35" t="str">
        <f>"B60QWJ2"</f>
        <v>B60QWJ2</v>
      </c>
      <c r="E35" t="s">
        <v>44</v>
      </c>
      <c r="F35" t="s">
        <v>10</v>
      </c>
      <c r="G35">
        <v>0.02</v>
      </c>
      <c r="H35" t="s">
        <v>11</v>
      </c>
    </row>
    <row r="36" spans="1:8" x14ac:dyDescent="0.25">
      <c r="A36" t="str">
        <f t="shared" si="0"/>
        <v>31-Jul-18</v>
      </c>
      <c r="B36" t="s">
        <v>7</v>
      </c>
      <c r="C36" t="s">
        <v>8</v>
      </c>
      <c r="D36" t="str">
        <f>"6512004"</f>
        <v>6512004</v>
      </c>
      <c r="E36" t="s">
        <v>45</v>
      </c>
      <c r="F36" t="s">
        <v>10</v>
      </c>
      <c r="G36">
        <v>3.5999999999999997E-2</v>
      </c>
      <c r="H36" t="s">
        <v>11</v>
      </c>
    </row>
    <row r="37" spans="1:8" x14ac:dyDescent="0.25">
      <c r="A37" t="str">
        <f t="shared" si="0"/>
        <v>31-Jul-18</v>
      </c>
      <c r="B37" t="s">
        <v>7</v>
      </c>
      <c r="C37" t="s">
        <v>8</v>
      </c>
      <c r="D37" t="str">
        <f>"B28YTC2"</f>
        <v>B28YTC2</v>
      </c>
      <c r="E37" t="s">
        <v>46</v>
      </c>
      <c r="F37" t="s">
        <v>10</v>
      </c>
      <c r="G37">
        <v>0.123</v>
      </c>
      <c r="H37" t="s">
        <v>11</v>
      </c>
    </row>
    <row r="38" spans="1:8" x14ac:dyDescent="0.25">
      <c r="A38" t="str">
        <f t="shared" si="0"/>
        <v>31-Jul-18</v>
      </c>
      <c r="B38" t="s">
        <v>7</v>
      </c>
      <c r="C38" t="s">
        <v>8</v>
      </c>
      <c r="D38" t="str">
        <f>"BRTNNQ5"</f>
        <v>BRTNNQ5</v>
      </c>
      <c r="E38" t="s">
        <v>47</v>
      </c>
      <c r="F38" t="s">
        <v>10</v>
      </c>
      <c r="G38">
        <v>1.4999999999999999E-2</v>
      </c>
      <c r="H38" t="s">
        <v>11</v>
      </c>
    </row>
    <row r="39" spans="1:8" x14ac:dyDescent="0.25">
      <c r="A39" t="str">
        <f t="shared" si="0"/>
        <v>31-Jul-18</v>
      </c>
      <c r="B39" t="s">
        <v>7</v>
      </c>
      <c r="C39" t="s">
        <v>8</v>
      </c>
      <c r="D39" t="str">
        <f>"6161978"</f>
        <v>6161978</v>
      </c>
      <c r="E39" t="s">
        <v>48</v>
      </c>
      <c r="F39" t="s">
        <v>10</v>
      </c>
      <c r="G39">
        <v>2.3E-2</v>
      </c>
      <c r="H39" t="s">
        <v>11</v>
      </c>
    </row>
    <row r="40" spans="1:8" x14ac:dyDescent="0.25">
      <c r="A40" t="str">
        <f t="shared" si="0"/>
        <v>31-Jul-18</v>
      </c>
      <c r="B40" t="s">
        <v>7</v>
      </c>
      <c r="C40" t="s">
        <v>8</v>
      </c>
      <c r="D40" t="str">
        <f>"6624608"</f>
        <v>6624608</v>
      </c>
      <c r="E40" t="s">
        <v>49</v>
      </c>
      <c r="F40" t="s">
        <v>10</v>
      </c>
      <c r="G40">
        <v>0.11899999999999999</v>
      </c>
      <c r="H40" t="s">
        <v>11</v>
      </c>
    </row>
    <row r="41" spans="1:8" x14ac:dyDescent="0.25">
      <c r="A41" t="str">
        <f t="shared" si="0"/>
        <v>31-Jul-18</v>
      </c>
      <c r="B41" t="s">
        <v>7</v>
      </c>
      <c r="C41" t="s">
        <v>8</v>
      </c>
      <c r="D41" t="str">
        <f>"6637101"</f>
        <v>6637101</v>
      </c>
      <c r="E41" t="s">
        <v>50</v>
      </c>
      <c r="F41" t="s">
        <v>10</v>
      </c>
      <c r="G41">
        <v>2.5999999999999999E-2</v>
      </c>
      <c r="H41" t="s">
        <v>11</v>
      </c>
    </row>
    <row r="42" spans="1:8" x14ac:dyDescent="0.25">
      <c r="A42" t="str">
        <f t="shared" si="0"/>
        <v>31-Jul-18</v>
      </c>
      <c r="B42" t="s">
        <v>7</v>
      </c>
      <c r="C42" t="s">
        <v>8</v>
      </c>
      <c r="D42" t="str">
        <f>"6657604"</f>
        <v>6657604</v>
      </c>
      <c r="E42" t="s">
        <v>51</v>
      </c>
      <c r="F42" t="s">
        <v>10</v>
      </c>
      <c r="G42">
        <v>1.6E-2</v>
      </c>
      <c r="H42" t="s">
        <v>11</v>
      </c>
    </row>
    <row r="43" spans="1:8" x14ac:dyDescent="0.25">
      <c r="A43" t="str">
        <f t="shared" si="0"/>
        <v>31-Jul-18</v>
      </c>
      <c r="B43" t="s">
        <v>7</v>
      </c>
      <c r="C43" t="s">
        <v>8</v>
      </c>
      <c r="D43" t="str">
        <f>"6458001"</f>
        <v>6458001</v>
      </c>
      <c r="E43" t="s">
        <v>52</v>
      </c>
      <c r="F43" t="s">
        <v>10</v>
      </c>
      <c r="G43">
        <v>0.01</v>
      </c>
      <c r="H43" t="s">
        <v>11</v>
      </c>
    </row>
    <row r="44" spans="1:8" x14ac:dyDescent="0.25">
      <c r="A44" t="str">
        <f t="shared" si="0"/>
        <v>31-Jul-18</v>
      </c>
      <c r="B44" t="s">
        <v>7</v>
      </c>
      <c r="C44" t="s">
        <v>8</v>
      </c>
      <c r="D44" t="str">
        <f>"6214861"</f>
        <v>6214861</v>
      </c>
      <c r="E44" t="s">
        <v>53</v>
      </c>
      <c r="F44" t="s">
        <v>10</v>
      </c>
      <c r="G44">
        <v>5.2999999999999999E-2</v>
      </c>
      <c r="H44" t="s">
        <v>11</v>
      </c>
    </row>
    <row r="45" spans="1:8" x14ac:dyDescent="0.25">
      <c r="A45" t="str">
        <f t="shared" si="0"/>
        <v>31-Jul-18</v>
      </c>
      <c r="B45" t="s">
        <v>7</v>
      </c>
      <c r="C45" t="s">
        <v>8</v>
      </c>
      <c r="D45" t="str">
        <f>"6715740"</f>
        <v>6715740</v>
      </c>
      <c r="E45" t="s">
        <v>54</v>
      </c>
      <c r="F45" t="s">
        <v>10</v>
      </c>
      <c r="G45">
        <v>2.5999999999999999E-2</v>
      </c>
      <c r="H45" t="s">
        <v>11</v>
      </c>
    </row>
    <row r="46" spans="1:8" x14ac:dyDescent="0.25">
      <c r="A46" t="str">
        <f t="shared" si="0"/>
        <v>31-Jul-18</v>
      </c>
      <c r="B46" t="s">
        <v>7</v>
      </c>
      <c r="C46" t="s">
        <v>8</v>
      </c>
      <c r="D46" t="str">
        <f>"6198578"</f>
        <v>6198578</v>
      </c>
      <c r="E46" t="s">
        <v>55</v>
      </c>
      <c r="F46" t="s">
        <v>10</v>
      </c>
      <c r="G46">
        <v>1E-3</v>
      </c>
      <c r="H46" t="s">
        <v>11</v>
      </c>
    </row>
    <row r="47" spans="1:8" x14ac:dyDescent="0.25">
      <c r="A47" t="str">
        <f t="shared" si="0"/>
        <v>31-Jul-18</v>
      </c>
      <c r="B47" t="s">
        <v>7</v>
      </c>
      <c r="C47" t="s">
        <v>8</v>
      </c>
      <c r="D47" t="str">
        <f>"6041995"</f>
        <v>6041995</v>
      </c>
      <c r="E47" t="s">
        <v>56</v>
      </c>
      <c r="F47" t="s">
        <v>10</v>
      </c>
      <c r="G47">
        <v>2.5999999999999999E-2</v>
      </c>
      <c r="H47" t="s">
        <v>11</v>
      </c>
    </row>
    <row r="48" spans="1:8" x14ac:dyDescent="0.25">
      <c r="A48" t="str">
        <f t="shared" si="0"/>
        <v>31-Jul-18</v>
      </c>
      <c r="B48" t="s">
        <v>7</v>
      </c>
      <c r="C48" t="s">
        <v>8</v>
      </c>
      <c r="D48" t="str">
        <f>"6220103"</f>
        <v>6220103</v>
      </c>
      <c r="E48" t="s">
        <v>57</v>
      </c>
      <c r="F48" t="s">
        <v>10</v>
      </c>
      <c r="G48">
        <v>4.8000000000000001E-2</v>
      </c>
      <c r="H48" t="s">
        <v>11</v>
      </c>
    </row>
    <row r="49" spans="1:8" x14ac:dyDescent="0.25">
      <c r="A49" t="str">
        <f t="shared" si="0"/>
        <v>31-Jul-18</v>
      </c>
      <c r="B49" t="s">
        <v>7</v>
      </c>
      <c r="C49" t="s">
        <v>8</v>
      </c>
      <c r="D49" t="str">
        <f>"B0767Y3"</f>
        <v>B0767Y3</v>
      </c>
      <c r="E49" t="s">
        <v>58</v>
      </c>
      <c r="F49" t="s">
        <v>10</v>
      </c>
      <c r="G49">
        <v>0.02</v>
      </c>
      <c r="H49" t="s">
        <v>11</v>
      </c>
    </row>
    <row r="50" spans="1:8" x14ac:dyDescent="0.25">
      <c r="A50" t="str">
        <f t="shared" si="0"/>
        <v>31-Jul-18</v>
      </c>
      <c r="B50" t="s">
        <v>7</v>
      </c>
      <c r="C50" t="s">
        <v>8</v>
      </c>
      <c r="D50" t="str">
        <f>"6776703"</f>
        <v>6776703</v>
      </c>
      <c r="E50" t="s">
        <v>59</v>
      </c>
      <c r="F50" t="s">
        <v>10</v>
      </c>
      <c r="G50">
        <v>0.02</v>
      </c>
      <c r="H50" t="s">
        <v>11</v>
      </c>
    </row>
    <row r="51" spans="1:8" x14ac:dyDescent="0.25">
      <c r="A51" t="str">
        <f t="shared" si="0"/>
        <v>31-Jul-18</v>
      </c>
      <c r="B51" t="s">
        <v>7</v>
      </c>
      <c r="C51" t="s">
        <v>8</v>
      </c>
      <c r="D51" t="str">
        <f>"BLZH0Z7"</f>
        <v>BLZH0Z7</v>
      </c>
      <c r="E51" t="s">
        <v>60</v>
      </c>
      <c r="F51" t="s">
        <v>10</v>
      </c>
      <c r="G51">
        <v>3.4000000000000002E-2</v>
      </c>
      <c r="H51" t="s">
        <v>11</v>
      </c>
    </row>
    <row r="52" spans="1:8" x14ac:dyDescent="0.25">
      <c r="A52" t="str">
        <f t="shared" si="0"/>
        <v>31-Jul-18</v>
      </c>
      <c r="B52" t="s">
        <v>7</v>
      </c>
      <c r="C52" t="s">
        <v>8</v>
      </c>
      <c r="D52" t="str">
        <f>"6821120"</f>
        <v>6821120</v>
      </c>
      <c r="E52" t="s">
        <v>61</v>
      </c>
      <c r="F52" t="s">
        <v>10</v>
      </c>
      <c r="G52">
        <v>1.9E-2</v>
      </c>
      <c r="H52" t="s">
        <v>11</v>
      </c>
    </row>
    <row r="53" spans="1:8" x14ac:dyDescent="0.25">
      <c r="A53" t="str">
        <f t="shared" si="0"/>
        <v>31-Jul-18</v>
      </c>
      <c r="B53" t="s">
        <v>7</v>
      </c>
      <c r="C53" t="s">
        <v>8</v>
      </c>
      <c r="D53" t="str">
        <f>"BWSW5D9"</f>
        <v>BWSW5D9</v>
      </c>
      <c r="E53" t="s">
        <v>62</v>
      </c>
      <c r="F53" t="s">
        <v>10</v>
      </c>
      <c r="G53">
        <v>1.7999999999999999E-2</v>
      </c>
      <c r="H53" t="s">
        <v>11</v>
      </c>
    </row>
    <row r="54" spans="1:8" x14ac:dyDescent="0.25">
      <c r="A54" t="str">
        <f t="shared" si="0"/>
        <v>31-Jul-18</v>
      </c>
      <c r="B54" t="s">
        <v>7</v>
      </c>
      <c r="C54" t="s">
        <v>8</v>
      </c>
      <c r="D54" t="str">
        <f>"6850856"</f>
        <v>6850856</v>
      </c>
      <c r="E54" t="s">
        <v>63</v>
      </c>
      <c r="F54" t="s">
        <v>10</v>
      </c>
      <c r="G54">
        <v>3.2000000000000001E-2</v>
      </c>
      <c r="H54" t="s">
        <v>11</v>
      </c>
    </row>
    <row r="55" spans="1:8" x14ac:dyDescent="0.25">
      <c r="A55" t="str">
        <f t="shared" si="0"/>
        <v>31-Jul-18</v>
      </c>
      <c r="B55" t="s">
        <v>7</v>
      </c>
      <c r="C55" t="s">
        <v>8</v>
      </c>
      <c r="D55" t="str">
        <f>"6585084"</f>
        <v>6585084</v>
      </c>
      <c r="E55" t="s">
        <v>64</v>
      </c>
      <c r="F55" t="s">
        <v>10</v>
      </c>
      <c r="G55">
        <v>2.7E-2</v>
      </c>
      <c r="H55" t="s">
        <v>11</v>
      </c>
    </row>
    <row r="56" spans="1:8" x14ac:dyDescent="0.25">
      <c r="A56" t="str">
        <f t="shared" si="0"/>
        <v>31-Jul-18</v>
      </c>
      <c r="B56" t="s">
        <v>7</v>
      </c>
      <c r="C56" t="s">
        <v>8</v>
      </c>
      <c r="D56" t="str">
        <f>"B70DWB2"</f>
        <v>B70DWB2</v>
      </c>
      <c r="E56" t="s">
        <v>65</v>
      </c>
      <c r="F56" t="s">
        <v>10</v>
      </c>
      <c r="G56">
        <v>2.4E-2</v>
      </c>
      <c r="H56" t="s">
        <v>11</v>
      </c>
    </row>
    <row r="57" spans="1:8" x14ac:dyDescent="0.25">
      <c r="A57" t="str">
        <f t="shared" si="0"/>
        <v>31-Jul-18</v>
      </c>
      <c r="B57" t="s">
        <v>7</v>
      </c>
      <c r="C57" t="s">
        <v>8</v>
      </c>
      <c r="D57" t="str">
        <f>"6873262"</f>
        <v>6873262</v>
      </c>
      <c r="E57" t="s">
        <v>66</v>
      </c>
      <c r="F57" t="s">
        <v>10</v>
      </c>
      <c r="G57">
        <v>2.7E-2</v>
      </c>
      <c r="H57" t="s">
        <v>11</v>
      </c>
    </row>
    <row r="58" spans="1:8" x14ac:dyDescent="0.25">
      <c r="A58" t="str">
        <f t="shared" si="0"/>
        <v>31-Jul-18</v>
      </c>
      <c r="B58" t="s">
        <v>7</v>
      </c>
      <c r="C58" t="s">
        <v>8</v>
      </c>
      <c r="D58" t="str">
        <f>"6087289"</f>
        <v>6087289</v>
      </c>
      <c r="E58" t="s">
        <v>67</v>
      </c>
      <c r="F58" t="s">
        <v>10</v>
      </c>
      <c r="G58">
        <v>3.5999999999999997E-2</v>
      </c>
      <c r="H58" t="s">
        <v>11</v>
      </c>
    </row>
    <row r="59" spans="1:8" x14ac:dyDescent="0.25">
      <c r="A59" t="str">
        <f t="shared" si="0"/>
        <v>31-Jul-18</v>
      </c>
      <c r="B59" t="s">
        <v>7</v>
      </c>
      <c r="C59" t="s">
        <v>8</v>
      </c>
      <c r="D59" t="str">
        <f>"6200882"</f>
        <v>6200882</v>
      </c>
      <c r="E59" t="s">
        <v>68</v>
      </c>
      <c r="F59" t="s">
        <v>10</v>
      </c>
      <c r="G59">
        <v>7.9000000000000001E-2</v>
      </c>
      <c r="H59" t="s">
        <v>11</v>
      </c>
    </row>
    <row r="60" spans="1:8" x14ac:dyDescent="0.25">
      <c r="A60" t="str">
        <f t="shared" si="0"/>
        <v>31-Jul-18</v>
      </c>
      <c r="B60" t="s">
        <v>7</v>
      </c>
      <c r="C60" t="s">
        <v>8</v>
      </c>
      <c r="D60" t="str">
        <f>"B61JC67"</f>
        <v>B61JC67</v>
      </c>
      <c r="E60" t="s">
        <v>69</v>
      </c>
      <c r="F60" t="s">
        <v>10</v>
      </c>
      <c r="G60">
        <v>2.1999999999999999E-2</v>
      </c>
      <c r="H60" t="s">
        <v>11</v>
      </c>
    </row>
    <row r="61" spans="1:8" x14ac:dyDescent="0.25">
      <c r="A61" t="str">
        <f t="shared" si="0"/>
        <v>31-Jul-18</v>
      </c>
      <c r="B61" t="s">
        <v>7</v>
      </c>
      <c r="C61" t="s">
        <v>8</v>
      </c>
      <c r="D61" t="str">
        <f>"BY7QXS7"</f>
        <v>BY7QXS7</v>
      </c>
      <c r="E61" t="s">
        <v>70</v>
      </c>
      <c r="F61" t="s">
        <v>10</v>
      </c>
      <c r="G61">
        <v>0.01</v>
      </c>
      <c r="H61" t="s">
        <v>11</v>
      </c>
    </row>
    <row r="62" spans="1:8" x14ac:dyDescent="0.25">
      <c r="A62" t="str">
        <f t="shared" si="0"/>
        <v>31-Jul-18</v>
      </c>
      <c r="B62" t="s">
        <v>7</v>
      </c>
      <c r="C62" t="s">
        <v>8</v>
      </c>
      <c r="D62" t="str">
        <f>"6948836"</f>
        <v>6948836</v>
      </c>
      <c r="E62" t="s">
        <v>71</v>
      </c>
      <c r="F62" t="s">
        <v>10</v>
      </c>
      <c r="G62">
        <v>8.8999999999999996E-2</v>
      </c>
      <c r="H62" t="s">
        <v>11</v>
      </c>
    </row>
    <row r="63" spans="1:8" x14ac:dyDescent="0.25">
      <c r="A63" t="str">
        <f t="shared" si="0"/>
        <v>31-Jul-18</v>
      </c>
      <c r="B63" t="s">
        <v>7</v>
      </c>
      <c r="C63" t="s">
        <v>8</v>
      </c>
      <c r="D63" t="str">
        <f>"6076146"</f>
        <v>6076146</v>
      </c>
      <c r="E63" t="s">
        <v>72</v>
      </c>
      <c r="F63" t="s">
        <v>10</v>
      </c>
      <c r="G63">
        <v>0.308</v>
      </c>
      <c r="H63" t="s">
        <v>11</v>
      </c>
    </row>
    <row r="64" spans="1:8" x14ac:dyDescent="0.25">
      <c r="A64" t="str">
        <f t="shared" si="0"/>
        <v>31-Jul-18</v>
      </c>
      <c r="B64" t="s">
        <v>7</v>
      </c>
      <c r="C64" t="s">
        <v>8</v>
      </c>
      <c r="D64" t="str">
        <f>"6979728"</f>
        <v>6979728</v>
      </c>
      <c r="E64" t="s">
        <v>73</v>
      </c>
      <c r="F64" t="s">
        <v>10</v>
      </c>
      <c r="G64">
        <v>9.5000000000000001E-2</v>
      </c>
      <c r="H64" t="s">
        <v>11</v>
      </c>
    </row>
    <row r="65" spans="1:8" x14ac:dyDescent="0.25">
      <c r="A65" t="str">
        <f t="shared" si="0"/>
        <v>31-Jul-18</v>
      </c>
      <c r="B65" t="s">
        <v>7</v>
      </c>
      <c r="C65" t="s">
        <v>8</v>
      </c>
      <c r="D65" t="str">
        <f>"6981239"</f>
        <v>6981239</v>
      </c>
      <c r="E65" t="s">
        <v>74</v>
      </c>
      <c r="F65" t="s">
        <v>10</v>
      </c>
      <c r="G65">
        <v>6.5000000000000002E-2</v>
      </c>
      <c r="H65" t="s">
        <v>11</v>
      </c>
    </row>
    <row r="66" spans="1:8" x14ac:dyDescent="0.25">
      <c r="A66" t="str">
        <f t="shared" ref="A66:A129" si="1">"31-Jul-18"</f>
        <v>31-Jul-18</v>
      </c>
      <c r="B66" t="s">
        <v>7</v>
      </c>
      <c r="C66" t="s">
        <v>75</v>
      </c>
      <c r="F66" t="s">
        <v>10</v>
      </c>
      <c r="G66">
        <v>2.9000000000000001E-2</v>
      </c>
      <c r="H66" t="s">
        <v>76</v>
      </c>
    </row>
    <row r="67" spans="1:8" x14ac:dyDescent="0.25">
      <c r="A67" t="str">
        <f t="shared" si="1"/>
        <v>31-Jul-18</v>
      </c>
      <c r="B67" t="s">
        <v>7</v>
      </c>
      <c r="C67" t="s">
        <v>8</v>
      </c>
      <c r="D67" t="str">
        <f>"B6463M8"</f>
        <v>B6463M8</v>
      </c>
      <c r="E67" t="s">
        <v>77</v>
      </c>
      <c r="F67" t="s">
        <v>78</v>
      </c>
      <c r="G67">
        <v>1.7000000000000001E-2</v>
      </c>
      <c r="H67" t="s">
        <v>11</v>
      </c>
    </row>
    <row r="68" spans="1:8" x14ac:dyDescent="0.25">
      <c r="A68" t="str">
        <f t="shared" si="1"/>
        <v>31-Jul-18</v>
      </c>
      <c r="B68" t="s">
        <v>7</v>
      </c>
      <c r="C68" t="s">
        <v>8</v>
      </c>
      <c r="D68" t="str">
        <f>"2009823"</f>
        <v>2009823</v>
      </c>
      <c r="E68" t="s">
        <v>79</v>
      </c>
      <c r="F68" t="s">
        <v>78</v>
      </c>
      <c r="G68">
        <v>4.2000000000000003E-2</v>
      </c>
      <c r="H68" t="s">
        <v>11</v>
      </c>
    </row>
    <row r="69" spans="1:8" x14ac:dyDescent="0.25">
      <c r="A69" t="str">
        <f t="shared" si="1"/>
        <v>31-Jul-18</v>
      </c>
      <c r="B69" t="s">
        <v>7</v>
      </c>
      <c r="C69" t="s">
        <v>8</v>
      </c>
      <c r="D69" t="str">
        <f>"2011646"</f>
        <v>2011646</v>
      </c>
      <c r="E69" t="s">
        <v>80</v>
      </c>
      <c r="F69" t="s">
        <v>78</v>
      </c>
      <c r="G69">
        <v>4.2000000000000003E-2</v>
      </c>
      <c r="H69" t="s">
        <v>11</v>
      </c>
    </row>
    <row r="70" spans="1:8" x14ac:dyDescent="0.25">
      <c r="A70" t="str">
        <f t="shared" si="1"/>
        <v>31-Jul-18</v>
      </c>
      <c r="B70" t="s">
        <v>7</v>
      </c>
      <c r="C70" t="s">
        <v>8</v>
      </c>
      <c r="D70" t="str">
        <f>"B43WJC5"</f>
        <v>B43WJC5</v>
      </c>
      <c r="E70" t="s">
        <v>81</v>
      </c>
      <c r="F70" t="s">
        <v>78</v>
      </c>
      <c r="G70">
        <v>2E-3</v>
      </c>
      <c r="H70" t="s">
        <v>11</v>
      </c>
    </row>
    <row r="71" spans="1:8" x14ac:dyDescent="0.25">
      <c r="A71" t="str">
        <f t="shared" si="1"/>
        <v>31-Jul-18</v>
      </c>
      <c r="B71" t="s">
        <v>7</v>
      </c>
      <c r="C71" t="s">
        <v>8</v>
      </c>
      <c r="D71" t="str">
        <f>"2060615"</f>
        <v>2060615</v>
      </c>
      <c r="E71" t="s">
        <v>82</v>
      </c>
      <c r="F71" t="s">
        <v>78</v>
      </c>
      <c r="G71">
        <v>4.0000000000000001E-3</v>
      </c>
      <c r="H71" t="s">
        <v>11</v>
      </c>
    </row>
    <row r="72" spans="1:8" x14ac:dyDescent="0.25">
      <c r="A72" t="str">
        <f t="shared" si="1"/>
        <v>31-Jul-18</v>
      </c>
      <c r="B72" t="s">
        <v>7</v>
      </c>
      <c r="C72" t="s">
        <v>8</v>
      </c>
      <c r="D72" t="str">
        <f>"B188TH2"</f>
        <v>B188TH2</v>
      </c>
      <c r="E72" t="s">
        <v>83</v>
      </c>
      <c r="F72" t="s">
        <v>78</v>
      </c>
      <c r="G72">
        <v>1.9E-2</v>
      </c>
      <c r="H72" t="s">
        <v>11</v>
      </c>
    </row>
    <row r="73" spans="1:8" x14ac:dyDescent="0.25">
      <c r="A73" t="str">
        <f t="shared" si="1"/>
        <v>31-Jul-18</v>
      </c>
      <c r="B73" t="s">
        <v>7</v>
      </c>
      <c r="C73" t="s">
        <v>8</v>
      </c>
      <c r="D73" t="str">
        <f>"2076009"</f>
        <v>2076009</v>
      </c>
      <c r="E73" t="s">
        <v>84</v>
      </c>
      <c r="F73" t="s">
        <v>78</v>
      </c>
      <c r="G73">
        <v>0.224</v>
      </c>
      <c r="H73" t="s">
        <v>11</v>
      </c>
    </row>
    <row r="74" spans="1:8" x14ac:dyDescent="0.25">
      <c r="A74" t="str">
        <f t="shared" si="1"/>
        <v>31-Jul-18</v>
      </c>
      <c r="B74" t="s">
        <v>7</v>
      </c>
      <c r="C74" t="s">
        <v>8</v>
      </c>
      <c r="D74" t="str">
        <f>"2076281"</f>
        <v>2076281</v>
      </c>
      <c r="E74" t="s">
        <v>85</v>
      </c>
      <c r="F74" t="s">
        <v>78</v>
      </c>
      <c r="G74">
        <v>0.30399999999999999</v>
      </c>
      <c r="H74" t="s">
        <v>11</v>
      </c>
    </row>
    <row r="75" spans="1:8" x14ac:dyDescent="0.25">
      <c r="A75" t="str">
        <f t="shared" si="1"/>
        <v>31-Jul-18</v>
      </c>
      <c r="B75" t="s">
        <v>7</v>
      </c>
      <c r="C75" t="s">
        <v>8</v>
      </c>
      <c r="D75" t="str">
        <f>"BCBHZ31"</f>
        <v>BCBHZ31</v>
      </c>
      <c r="E75" t="s">
        <v>86</v>
      </c>
      <c r="F75" t="s">
        <v>78</v>
      </c>
      <c r="G75">
        <v>1.0999999999999999E-2</v>
      </c>
      <c r="H75" t="s">
        <v>11</v>
      </c>
    </row>
    <row r="76" spans="1:8" x14ac:dyDescent="0.25">
      <c r="A76" t="str">
        <f t="shared" si="1"/>
        <v>31-Jul-18</v>
      </c>
      <c r="B76" t="s">
        <v>7</v>
      </c>
      <c r="C76" t="s">
        <v>8</v>
      </c>
      <c r="D76" t="str">
        <f>"2109723"</f>
        <v>2109723</v>
      </c>
      <c r="E76" t="s">
        <v>87</v>
      </c>
      <c r="F76" t="s">
        <v>78</v>
      </c>
      <c r="G76">
        <v>2.1000000000000001E-2</v>
      </c>
      <c r="H76" t="s">
        <v>11</v>
      </c>
    </row>
    <row r="77" spans="1:8" x14ac:dyDescent="0.25">
      <c r="A77" t="str">
        <f t="shared" si="1"/>
        <v>31-Jul-18</v>
      </c>
      <c r="B77" t="s">
        <v>7</v>
      </c>
      <c r="C77" t="s">
        <v>8</v>
      </c>
      <c r="D77" t="str">
        <f>"2092599"</f>
        <v>2092599</v>
      </c>
      <c r="E77" t="s">
        <v>88</v>
      </c>
      <c r="F77" t="s">
        <v>78</v>
      </c>
      <c r="G77">
        <v>7.8E-2</v>
      </c>
      <c r="H77" t="s">
        <v>11</v>
      </c>
    </row>
    <row r="78" spans="1:8" x14ac:dyDescent="0.25">
      <c r="A78" t="str">
        <f t="shared" si="1"/>
        <v>31-Jul-18</v>
      </c>
      <c r="B78" t="s">
        <v>7</v>
      </c>
      <c r="C78" t="s">
        <v>8</v>
      </c>
      <c r="D78" t="str">
        <f>"2162760"</f>
        <v>2162760</v>
      </c>
      <c r="E78" t="s">
        <v>89</v>
      </c>
      <c r="F78" t="s">
        <v>78</v>
      </c>
      <c r="G78">
        <v>5.7000000000000002E-2</v>
      </c>
      <c r="H78" t="s">
        <v>11</v>
      </c>
    </row>
    <row r="79" spans="1:8" x14ac:dyDescent="0.25">
      <c r="A79" t="str">
        <f t="shared" si="1"/>
        <v>31-Jul-18</v>
      </c>
      <c r="B79" t="s">
        <v>7</v>
      </c>
      <c r="C79" t="s">
        <v>8</v>
      </c>
      <c r="D79" t="str">
        <f>"2159795"</f>
        <v>2159795</v>
      </c>
      <c r="E79" t="s">
        <v>90</v>
      </c>
      <c r="F79" t="s">
        <v>78</v>
      </c>
      <c r="G79">
        <v>1.2E-2</v>
      </c>
      <c r="H79" t="s">
        <v>11</v>
      </c>
    </row>
    <row r="80" spans="1:8" x14ac:dyDescent="0.25">
      <c r="A80" t="str">
        <f t="shared" si="1"/>
        <v>31-Jul-18</v>
      </c>
      <c r="B80" t="s">
        <v>7</v>
      </c>
      <c r="C80" t="s">
        <v>8</v>
      </c>
      <c r="D80" t="str">
        <f>"2159740"</f>
        <v>2159740</v>
      </c>
      <c r="E80" t="s">
        <v>91</v>
      </c>
      <c r="F80" t="s">
        <v>78</v>
      </c>
      <c r="G80">
        <v>0.05</v>
      </c>
      <c r="H80" t="s">
        <v>11</v>
      </c>
    </row>
    <row r="81" spans="1:8" x14ac:dyDescent="0.25">
      <c r="A81" t="str">
        <f t="shared" si="1"/>
        <v>31-Jul-18</v>
      </c>
      <c r="B81" t="s">
        <v>7</v>
      </c>
      <c r="C81" t="s">
        <v>8</v>
      </c>
      <c r="D81" t="str">
        <f>"B3KT0S5"</f>
        <v>B3KT0S5</v>
      </c>
      <c r="E81" t="s">
        <v>92</v>
      </c>
      <c r="F81" t="s">
        <v>78</v>
      </c>
      <c r="G81">
        <v>4.0000000000000001E-3</v>
      </c>
      <c r="H81" t="s">
        <v>11</v>
      </c>
    </row>
    <row r="82" spans="1:8" x14ac:dyDescent="0.25">
      <c r="A82" t="str">
        <f t="shared" si="1"/>
        <v>31-Jul-18</v>
      </c>
      <c r="B82" t="s">
        <v>7</v>
      </c>
      <c r="C82" t="s">
        <v>8</v>
      </c>
      <c r="D82" t="str">
        <f>"2166160"</f>
        <v>2166160</v>
      </c>
      <c r="E82" t="s">
        <v>93</v>
      </c>
      <c r="F82" t="s">
        <v>78</v>
      </c>
      <c r="G82">
        <v>8.9999999999999993E-3</v>
      </c>
      <c r="H82" t="s">
        <v>11</v>
      </c>
    </row>
    <row r="83" spans="1:8" x14ac:dyDescent="0.25">
      <c r="A83" t="str">
        <f t="shared" si="1"/>
        <v>31-Jul-18</v>
      </c>
      <c r="B83" t="s">
        <v>7</v>
      </c>
      <c r="C83" t="s">
        <v>8</v>
      </c>
      <c r="D83" t="str">
        <f>"2170525"</f>
        <v>2170525</v>
      </c>
      <c r="E83" t="s">
        <v>94</v>
      </c>
      <c r="F83" t="s">
        <v>78</v>
      </c>
      <c r="G83">
        <v>0.17</v>
      </c>
      <c r="H83" t="s">
        <v>11</v>
      </c>
    </row>
    <row r="84" spans="1:8" x14ac:dyDescent="0.25">
      <c r="A84" t="str">
        <f t="shared" si="1"/>
        <v>31-Jul-18</v>
      </c>
      <c r="B84" t="s">
        <v>7</v>
      </c>
      <c r="C84" t="s">
        <v>8</v>
      </c>
      <c r="D84" t="str">
        <f>"2180632"</f>
        <v>2180632</v>
      </c>
      <c r="E84" t="s">
        <v>95</v>
      </c>
      <c r="F84" t="s">
        <v>78</v>
      </c>
      <c r="G84">
        <v>0.15</v>
      </c>
      <c r="H84" t="s">
        <v>11</v>
      </c>
    </row>
    <row r="85" spans="1:8" x14ac:dyDescent="0.25">
      <c r="A85" t="str">
        <f t="shared" si="1"/>
        <v>31-Jul-18</v>
      </c>
      <c r="B85" t="s">
        <v>7</v>
      </c>
      <c r="C85" t="s">
        <v>8</v>
      </c>
      <c r="D85" t="str">
        <f>"2171573"</f>
        <v>2171573</v>
      </c>
      <c r="E85" t="s">
        <v>96</v>
      </c>
      <c r="F85" t="s">
        <v>78</v>
      </c>
      <c r="G85">
        <v>4.4999999999999998E-2</v>
      </c>
      <c r="H85" t="s">
        <v>11</v>
      </c>
    </row>
    <row r="86" spans="1:8" x14ac:dyDescent="0.25">
      <c r="A86" t="str">
        <f t="shared" si="1"/>
        <v>31-Jul-18</v>
      </c>
      <c r="B86" t="s">
        <v>7</v>
      </c>
      <c r="C86" t="s">
        <v>8</v>
      </c>
      <c r="D86" t="str">
        <f>"2793115"</f>
        <v>2793115</v>
      </c>
      <c r="E86" t="s">
        <v>97</v>
      </c>
      <c r="F86" t="s">
        <v>78</v>
      </c>
      <c r="G86">
        <v>5.6000000000000001E-2</v>
      </c>
      <c r="H86" t="s">
        <v>11</v>
      </c>
    </row>
    <row r="87" spans="1:8" x14ac:dyDescent="0.25">
      <c r="A87" t="str">
        <f t="shared" si="1"/>
        <v>31-Jul-18</v>
      </c>
      <c r="B87" t="s">
        <v>7</v>
      </c>
      <c r="C87" t="s">
        <v>8</v>
      </c>
      <c r="D87" t="str">
        <f>"2172286"</f>
        <v>2172286</v>
      </c>
      <c r="E87" t="s">
        <v>98</v>
      </c>
      <c r="F87" t="s">
        <v>78</v>
      </c>
      <c r="G87">
        <v>4.1000000000000002E-2</v>
      </c>
      <c r="H87" t="s">
        <v>11</v>
      </c>
    </row>
    <row r="88" spans="1:8" x14ac:dyDescent="0.25">
      <c r="A88" t="str">
        <f t="shared" si="1"/>
        <v>31-Jul-18</v>
      </c>
      <c r="B88" t="s">
        <v>7</v>
      </c>
      <c r="C88" t="s">
        <v>8</v>
      </c>
      <c r="D88" t="str">
        <f>"2172639"</f>
        <v>2172639</v>
      </c>
      <c r="E88" t="s">
        <v>99</v>
      </c>
      <c r="F88" t="s">
        <v>78</v>
      </c>
      <c r="G88">
        <v>3.0000000000000001E-3</v>
      </c>
      <c r="H88" t="s">
        <v>11</v>
      </c>
    </row>
    <row r="89" spans="1:8" x14ac:dyDescent="0.25">
      <c r="A89" t="str">
        <f t="shared" si="1"/>
        <v>31-Jul-18</v>
      </c>
      <c r="B89" t="s">
        <v>7</v>
      </c>
      <c r="C89" t="s">
        <v>8</v>
      </c>
      <c r="D89" t="str">
        <f>"B57FG04"</f>
        <v>B57FG04</v>
      </c>
      <c r="E89" t="s">
        <v>100</v>
      </c>
      <c r="F89" t="s">
        <v>78</v>
      </c>
      <c r="G89">
        <v>2.1000000000000001E-2</v>
      </c>
      <c r="H89" t="s">
        <v>11</v>
      </c>
    </row>
    <row r="90" spans="1:8" x14ac:dyDescent="0.25">
      <c r="A90" t="str">
        <f t="shared" si="1"/>
        <v>31-Jul-18</v>
      </c>
      <c r="B90" t="s">
        <v>7</v>
      </c>
      <c r="C90" t="s">
        <v>8</v>
      </c>
      <c r="D90" t="str">
        <f>"B15C4L6"</f>
        <v>B15C4L6</v>
      </c>
      <c r="E90" t="s">
        <v>101</v>
      </c>
      <c r="F90" t="s">
        <v>78</v>
      </c>
      <c r="G90">
        <v>0.01</v>
      </c>
      <c r="H90" t="s">
        <v>11</v>
      </c>
    </row>
    <row r="91" spans="1:8" x14ac:dyDescent="0.25">
      <c r="A91" t="str">
        <f t="shared" si="1"/>
        <v>31-Jul-18</v>
      </c>
      <c r="B91" t="s">
        <v>7</v>
      </c>
      <c r="C91" t="s">
        <v>8</v>
      </c>
      <c r="D91" t="str">
        <f>"B67C8W8"</f>
        <v>B67C8W8</v>
      </c>
      <c r="E91" t="s">
        <v>102</v>
      </c>
      <c r="F91" t="s">
        <v>78</v>
      </c>
      <c r="G91">
        <v>7.0000000000000001E-3</v>
      </c>
      <c r="H91" t="s">
        <v>11</v>
      </c>
    </row>
    <row r="92" spans="1:8" x14ac:dyDescent="0.25">
      <c r="A92" t="str">
        <f t="shared" si="1"/>
        <v>31-Jul-18</v>
      </c>
      <c r="B92" t="s">
        <v>7</v>
      </c>
      <c r="C92" t="s">
        <v>8</v>
      </c>
      <c r="D92" t="str">
        <f>"B4TP9G2"</f>
        <v>B4TP9G2</v>
      </c>
      <c r="E92" t="s">
        <v>103</v>
      </c>
      <c r="F92" t="s">
        <v>78</v>
      </c>
      <c r="G92">
        <v>2.5999999999999999E-2</v>
      </c>
      <c r="H92" t="s">
        <v>11</v>
      </c>
    </row>
    <row r="93" spans="1:8" x14ac:dyDescent="0.25">
      <c r="A93" t="str">
        <f t="shared" si="1"/>
        <v>31-Jul-18</v>
      </c>
      <c r="B93" t="s">
        <v>7</v>
      </c>
      <c r="C93" t="s">
        <v>8</v>
      </c>
      <c r="D93" t="str">
        <f>"2650050"</f>
        <v>2650050</v>
      </c>
      <c r="E93" t="s">
        <v>104</v>
      </c>
      <c r="F93" t="s">
        <v>78</v>
      </c>
      <c r="G93">
        <v>2E-3</v>
      </c>
      <c r="H93" t="s">
        <v>11</v>
      </c>
    </row>
    <row r="94" spans="1:8" x14ac:dyDescent="0.25">
      <c r="A94" t="str">
        <f t="shared" si="1"/>
        <v>31-Jul-18</v>
      </c>
      <c r="B94" t="s">
        <v>7</v>
      </c>
      <c r="C94" t="s">
        <v>8</v>
      </c>
      <c r="D94" t="str">
        <f>"2314000"</f>
        <v>2314000</v>
      </c>
      <c r="E94" t="s">
        <v>105</v>
      </c>
      <c r="F94" t="s">
        <v>78</v>
      </c>
      <c r="G94">
        <v>7.0000000000000001E-3</v>
      </c>
      <c r="H94" t="s">
        <v>11</v>
      </c>
    </row>
    <row r="95" spans="1:8" x14ac:dyDescent="0.25">
      <c r="A95" t="str">
        <f t="shared" si="1"/>
        <v>31-Jul-18</v>
      </c>
      <c r="B95" t="s">
        <v>7</v>
      </c>
      <c r="C95" t="s">
        <v>8</v>
      </c>
      <c r="D95" t="str">
        <f>"2466149"</f>
        <v>2466149</v>
      </c>
      <c r="E95" t="s">
        <v>106</v>
      </c>
      <c r="F95" t="s">
        <v>78</v>
      </c>
      <c r="G95">
        <v>0.122</v>
      </c>
      <c r="H95" t="s">
        <v>11</v>
      </c>
    </row>
    <row r="96" spans="1:8" x14ac:dyDescent="0.25">
      <c r="A96" t="str">
        <f t="shared" si="1"/>
        <v>31-Jul-18</v>
      </c>
      <c r="B96" t="s">
        <v>7</v>
      </c>
      <c r="C96" t="s">
        <v>8</v>
      </c>
      <c r="D96" t="str">
        <f>"2793193"</f>
        <v>2793193</v>
      </c>
      <c r="E96" t="s">
        <v>107</v>
      </c>
      <c r="F96" t="s">
        <v>78</v>
      </c>
      <c r="G96">
        <v>2.8000000000000001E-2</v>
      </c>
      <c r="H96" t="s">
        <v>11</v>
      </c>
    </row>
    <row r="97" spans="1:8" x14ac:dyDescent="0.25">
      <c r="A97" t="str">
        <f t="shared" si="1"/>
        <v>31-Jul-18</v>
      </c>
      <c r="B97" t="s">
        <v>7</v>
      </c>
      <c r="C97" t="s">
        <v>8</v>
      </c>
      <c r="D97" t="str">
        <f>"2566351"</f>
        <v>2566351</v>
      </c>
      <c r="E97" t="s">
        <v>108</v>
      </c>
      <c r="F97" t="s">
        <v>78</v>
      </c>
      <c r="G97">
        <v>1.4999999999999999E-2</v>
      </c>
      <c r="H97" t="s">
        <v>11</v>
      </c>
    </row>
    <row r="98" spans="1:8" x14ac:dyDescent="0.25">
      <c r="A98" t="str">
        <f t="shared" si="1"/>
        <v>31-Jul-18</v>
      </c>
      <c r="B98" t="s">
        <v>7</v>
      </c>
      <c r="C98" t="s">
        <v>8</v>
      </c>
      <c r="D98" t="str">
        <f>"2339177"</f>
        <v>2339177</v>
      </c>
      <c r="E98" t="s">
        <v>109</v>
      </c>
      <c r="F98" t="s">
        <v>78</v>
      </c>
      <c r="G98">
        <v>1.2E-2</v>
      </c>
      <c r="H98" t="s">
        <v>11</v>
      </c>
    </row>
    <row r="99" spans="1:8" x14ac:dyDescent="0.25">
      <c r="A99" t="str">
        <f t="shared" si="1"/>
        <v>31-Jul-18</v>
      </c>
      <c r="B99" t="s">
        <v>7</v>
      </c>
      <c r="C99" t="s">
        <v>8</v>
      </c>
      <c r="D99" t="str">
        <f>"2185596"</f>
        <v>2185596</v>
      </c>
      <c r="E99" t="s">
        <v>110</v>
      </c>
      <c r="F99" t="s">
        <v>78</v>
      </c>
      <c r="G99">
        <v>8.9999999999999993E-3</v>
      </c>
      <c r="H99" t="s">
        <v>11</v>
      </c>
    </row>
    <row r="100" spans="1:8" x14ac:dyDescent="0.25">
      <c r="A100" t="str">
        <f t="shared" si="1"/>
        <v>31-Jul-18</v>
      </c>
      <c r="B100" t="s">
        <v>7</v>
      </c>
      <c r="C100" t="s">
        <v>8</v>
      </c>
      <c r="D100" t="str">
        <f>"2347608"</f>
        <v>2347608</v>
      </c>
      <c r="E100" t="s">
        <v>111</v>
      </c>
      <c r="F100" t="s">
        <v>78</v>
      </c>
      <c r="G100">
        <v>2.3E-2</v>
      </c>
      <c r="H100" t="s">
        <v>11</v>
      </c>
    </row>
    <row r="101" spans="1:8" x14ac:dyDescent="0.25">
      <c r="A101" t="str">
        <f t="shared" si="1"/>
        <v>31-Jul-18</v>
      </c>
      <c r="B101" t="s">
        <v>7</v>
      </c>
      <c r="C101" t="s">
        <v>8</v>
      </c>
      <c r="D101" t="str">
        <f>"2347200"</f>
        <v>2347200</v>
      </c>
      <c r="E101" t="s">
        <v>112</v>
      </c>
      <c r="F101" t="s">
        <v>78</v>
      </c>
      <c r="G101">
        <v>2.9000000000000001E-2</v>
      </c>
      <c r="H101" t="s">
        <v>11</v>
      </c>
    </row>
    <row r="102" spans="1:8" x14ac:dyDescent="0.25">
      <c r="A102" t="str">
        <f t="shared" si="1"/>
        <v>31-Jul-18</v>
      </c>
      <c r="B102" t="s">
        <v>7</v>
      </c>
      <c r="C102" t="s">
        <v>8</v>
      </c>
      <c r="D102" t="str">
        <f>"B29NF31"</f>
        <v>B29NF31</v>
      </c>
      <c r="E102" t="s">
        <v>113</v>
      </c>
      <c r="F102" t="s">
        <v>78</v>
      </c>
      <c r="G102">
        <v>6.0999999999999999E-2</v>
      </c>
      <c r="H102" t="s">
        <v>11</v>
      </c>
    </row>
    <row r="103" spans="1:8" x14ac:dyDescent="0.25">
      <c r="A103" t="str">
        <f t="shared" si="1"/>
        <v>31-Jul-18</v>
      </c>
      <c r="B103" t="s">
        <v>7</v>
      </c>
      <c r="C103" t="s">
        <v>8</v>
      </c>
      <c r="D103" t="str">
        <f>"2956662"</f>
        <v>2956662</v>
      </c>
      <c r="E103" t="s">
        <v>114</v>
      </c>
      <c r="F103" t="s">
        <v>78</v>
      </c>
      <c r="G103">
        <v>1.2E-2</v>
      </c>
      <c r="H103" t="s">
        <v>11</v>
      </c>
    </row>
    <row r="104" spans="1:8" x14ac:dyDescent="0.25">
      <c r="A104" t="str">
        <f t="shared" si="1"/>
        <v>31-Jul-18</v>
      </c>
      <c r="B104" t="s">
        <v>7</v>
      </c>
      <c r="C104" t="s">
        <v>8</v>
      </c>
      <c r="D104" t="str">
        <f>"2254645"</f>
        <v>2254645</v>
      </c>
      <c r="E104" t="s">
        <v>115</v>
      </c>
      <c r="F104" t="s">
        <v>78</v>
      </c>
      <c r="G104">
        <v>2.1000000000000001E-2</v>
      </c>
      <c r="H104" t="s">
        <v>11</v>
      </c>
    </row>
    <row r="105" spans="1:8" x14ac:dyDescent="0.25">
      <c r="A105" t="str">
        <f t="shared" si="1"/>
        <v>31-Jul-18</v>
      </c>
      <c r="B105" t="s">
        <v>7</v>
      </c>
      <c r="C105" t="s">
        <v>8</v>
      </c>
      <c r="D105" t="str">
        <f>"2676302"</f>
        <v>2676302</v>
      </c>
      <c r="E105" t="s">
        <v>116</v>
      </c>
      <c r="F105" t="s">
        <v>78</v>
      </c>
      <c r="G105">
        <v>1.2E-2</v>
      </c>
      <c r="H105" t="s">
        <v>11</v>
      </c>
    </row>
    <row r="106" spans="1:8" x14ac:dyDescent="0.25">
      <c r="A106" t="str">
        <f t="shared" si="1"/>
        <v>31-Jul-18</v>
      </c>
      <c r="B106" t="s">
        <v>7</v>
      </c>
      <c r="C106" t="s">
        <v>8</v>
      </c>
      <c r="D106" t="str">
        <f>"2384951"</f>
        <v>2384951</v>
      </c>
      <c r="E106" t="s">
        <v>117</v>
      </c>
      <c r="F106" t="s">
        <v>78</v>
      </c>
      <c r="G106">
        <v>1.9E-2</v>
      </c>
      <c r="H106" t="s">
        <v>11</v>
      </c>
    </row>
    <row r="107" spans="1:8" x14ac:dyDescent="0.25">
      <c r="A107" t="str">
        <f t="shared" si="1"/>
        <v>31-Jul-18</v>
      </c>
      <c r="B107" t="s">
        <v>7</v>
      </c>
      <c r="C107" t="s">
        <v>8</v>
      </c>
      <c r="D107" t="str">
        <f>"B3DJHT2"</f>
        <v>B3DJHT2</v>
      </c>
      <c r="E107" t="s">
        <v>118</v>
      </c>
      <c r="F107" t="s">
        <v>78</v>
      </c>
      <c r="G107">
        <v>2E-3</v>
      </c>
      <c r="H107" t="s">
        <v>11</v>
      </c>
    </row>
    <row r="108" spans="1:8" x14ac:dyDescent="0.25">
      <c r="A108" t="str">
        <f t="shared" si="1"/>
        <v>31-Jul-18</v>
      </c>
      <c r="B108" t="s">
        <v>7</v>
      </c>
      <c r="C108" t="s">
        <v>8</v>
      </c>
      <c r="D108" t="str">
        <f>"2623836"</f>
        <v>2623836</v>
      </c>
      <c r="E108" t="s">
        <v>119</v>
      </c>
      <c r="F108" t="s">
        <v>78</v>
      </c>
      <c r="G108">
        <v>1.4E-2</v>
      </c>
      <c r="H108" t="s">
        <v>11</v>
      </c>
    </row>
    <row r="109" spans="1:8" x14ac:dyDescent="0.25">
      <c r="A109" t="str">
        <f t="shared" si="1"/>
        <v>31-Jul-18</v>
      </c>
      <c r="B109" t="s">
        <v>7</v>
      </c>
      <c r="C109" t="s">
        <v>8</v>
      </c>
      <c r="D109" t="str">
        <f>"BYYXJY9"</f>
        <v>BYYXJY9</v>
      </c>
      <c r="E109" t="s">
        <v>120</v>
      </c>
      <c r="F109" t="s">
        <v>78</v>
      </c>
      <c r="G109">
        <v>6.0000000000000001E-3</v>
      </c>
      <c r="H109" t="s">
        <v>11</v>
      </c>
    </row>
    <row r="110" spans="1:8" x14ac:dyDescent="0.25">
      <c r="A110" t="str">
        <f t="shared" si="1"/>
        <v>31-Jul-18</v>
      </c>
      <c r="B110" t="s">
        <v>7</v>
      </c>
      <c r="C110" t="s">
        <v>8</v>
      </c>
      <c r="D110" t="str">
        <f>"2469375"</f>
        <v>2469375</v>
      </c>
      <c r="E110" t="s">
        <v>121</v>
      </c>
      <c r="F110" t="s">
        <v>78</v>
      </c>
      <c r="G110">
        <v>4.0000000000000001E-3</v>
      </c>
      <c r="H110" t="s">
        <v>11</v>
      </c>
    </row>
    <row r="111" spans="1:8" x14ac:dyDescent="0.25">
      <c r="A111" t="str">
        <f t="shared" si="1"/>
        <v>31-Jul-18</v>
      </c>
      <c r="B111" t="s">
        <v>7</v>
      </c>
      <c r="C111" t="s">
        <v>8</v>
      </c>
      <c r="D111" t="str">
        <f>"2454241"</f>
        <v>2454241</v>
      </c>
      <c r="E111" t="s">
        <v>122</v>
      </c>
      <c r="F111" t="s">
        <v>78</v>
      </c>
      <c r="G111">
        <v>2.5000000000000001E-2</v>
      </c>
      <c r="H111" t="s">
        <v>11</v>
      </c>
    </row>
    <row r="112" spans="1:8" x14ac:dyDescent="0.25">
      <c r="A112" t="str">
        <f t="shared" si="1"/>
        <v>31-Jul-18</v>
      </c>
      <c r="B112" t="s">
        <v>7</v>
      </c>
      <c r="C112" t="s">
        <v>8</v>
      </c>
      <c r="D112" t="str">
        <f>"2543688"</f>
        <v>2543688</v>
      </c>
      <c r="E112" t="s">
        <v>123</v>
      </c>
      <c r="F112" t="s">
        <v>78</v>
      </c>
      <c r="G112">
        <v>7.0000000000000001E-3</v>
      </c>
      <c r="H112" t="s">
        <v>11</v>
      </c>
    </row>
    <row r="113" spans="1:8" x14ac:dyDescent="0.25">
      <c r="A113" t="str">
        <f t="shared" si="1"/>
        <v>31-Jul-18</v>
      </c>
      <c r="B113" t="s">
        <v>7</v>
      </c>
      <c r="C113" t="s">
        <v>8</v>
      </c>
      <c r="D113" t="str">
        <f>"B04YJV1"</f>
        <v>B04YJV1</v>
      </c>
      <c r="E113" t="s">
        <v>124</v>
      </c>
      <c r="F113" t="s">
        <v>78</v>
      </c>
      <c r="G113">
        <v>2.1999999999999999E-2</v>
      </c>
      <c r="H113" t="s">
        <v>11</v>
      </c>
    </row>
    <row r="114" spans="1:8" x14ac:dyDescent="0.25">
      <c r="A114" t="str">
        <f t="shared" si="1"/>
        <v>31-Jul-18</v>
      </c>
      <c r="B114" t="s">
        <v>7</v>
      </c>
      <c r="C114" t="s">
        <v>8</v>
      </c>
      <c r="D114" t="str">
        <f>"BDD54N3"</f>
        <v>BDD54N3</v>
      </c>
      <c r="E114" t="s">
        <v>125</v>
      </c>
      <c r="F114" t="s">
        <v>78</v>
      </c>
      <c r="G114">
        <v>1.2E-2</v>
      </c>
      <c r="H114" t="s">
        <v>11</v>
      </c>
    </row>
    <row r="115" spans="1:8" x14ac:dyDescent="0.25">
      <c r="A115" t="str">
        <f t="shared" si="1"/>
        <v>31-Jul-18</v>
      </c>
      <c r="B115" t="s">
        <v>7</v>
      </c>
      <c r="C115" t="s">
        <v>8</v>
      </c>
      <c r="D115" t="str">
        <f>"B3SGMV5"</f>
        <v>B3SGMV5</v>
      </c>
      <c r="E115" t="s">
        <v>126</v>
      </c>
      <c r="F115" t="s">
        <v>78</v>
      </c>
      <c r="G115">
        <v>1.0999999999999999E-2</v>
      </c>
      <c r="H115" t="s">
        <v>11</v>
      </c>
    </row>
    <row r="116" spans="1:8" x14ac:dyDescent="0.25">
      <c r="A116" t="str">
        <f t="shared" si="1"/>
        <v>31-Jul-18</v>
      </c>
      <c r="B116" t="s">
        <v>7</v>
      </c>
      <c r="C116" t="s">
        <v>8</v>
      </c>
      <c r="D116" t="str">
        <f>"B03Z841"</f>
        <v>B03Z841</v>
      </c>
      <c r="E116" t="s">
        <v>127</v>
      </c>
      <c r="F116" t="s">
        <v>78</v>
      </c>
      <c r="G116">
        <v>5.0000000000000001E-3</v>
      </c>
      <c r="H116" t="s">
        <v>11</v>
      </c>
    </row>
    <row r="117" spans="1:8" x14ac:dyDescent="0.25">
      <c r="A117" t="str">
        <f t="shared" si="1"/>
        <v>31-Jul-18</v>
      </c>
      <c r="B117" t="s">
        <v>7</v>
      </c>
      <c r="C117" t="s">
        <v>8</v>
      </c>
      <c r="D117" t="str">
        <f>"2516022"</f>
        <v>2516022</v>
      </c>
      <c r="E117" t="s">
        <v>128</v>
      </c>
      <c r="F117" t="s">
        <v>78</v>
      </c>
      <c r="G117">
        <v>4.0000000000000001E-3</v>
      </c>
      <c r="H117" t="s">
        <v>11</v>
      </c>
    </row>
    <row r="118" spans="1:8" x14ac:dyDescent="0.25">
      <c r="A118" t="str">
        <f t="shared" si="1"/>
        <v>31-Jul-18</v>
      </c>
      <c r="B118" t="s">
        <v>7</v>
      </c>
      <c r="C118" t="s">
        <v>8</v>
      </c>
      <c r="D118" t="str">
        <f>"2521800"</f>
        <v>2521800</v>
      </c>
      <c r="E118" t="s">
        <v>129</v>
      </c>
      <c r="F118" t="s">
        <v>78</v>
      </c>
      <c r="G118">
        <v>5.3999999999999999E-2</v>
      </c>
      <c r="H118" t="s">
        <v>11</v>
      </c>
    </row>
    <row r="119" spans="1:8" x14ac:dyDescent="0.25">
      <c r="A119" t="str">
        <f t="shared" si="1"/>
        <v>31-Jul-18</v>
      </c>
      <c r="B119" t="s">
        <v>7</v>
      </c>
      <c r="C119" t="s">
        <v>8</v>
      </c>
      <c r="D119" t="str">
        <f>"2866857"</f>
        <v>2866857</v>
      </c>
      <c r="E119" t="s">
        <v>130</v>
      </c>
      <c r="F119" t="s">
        <v>78</v>
      </c>
      <c r="G119">
        <v>8.0000000000000002E-3</v>
      </c>
      <c r="H119" t="s">
        <v>11</v>
      </c>
    </row>
    <row r="120" spans="1:8" x14ac:dyDescent="0.25">
      <c r="A120" t="str">
        <f t="shared" si="1"/>
        <v>31-Jul-18</v>
      </c>
      <c r="B120" t="s">
        <v>7</v>
      </c>
      <c r="C120" t="s">
        <v>8</v>
      </c>
      <c r="D120" t="str">
        <f>"2554475"</f>
        <v>2554475</v>
      </c>
      <c r="E120" t="s">
        <v>131</v>
      </c>
      <c r="F120" t="s">
        <v>78</v>
      </c>
      <c r="G120">
        <v>4.3999999999999997E-2</v>
      </c>
      <c r="H120" t="s">
        <v>11</v>
      </c>
    </row>
    <row r="121" spans="1:8" x14ac:dyDescent="0.25">
      <c r="A121" t="str">
        <f t="shared" si="1"/>
        <v>31-Jul-18</v>
      </c>
      <c r="B121" t="s">
        <v>7</v>
      </c>
      <c r="C121" t="s">
        <v>8</v>
      </c>
      <c r="D121" t="str">
        <f>"2492519"</f>
        <v>2492519</v>
      </c>
      <c r="E121" t="s">
        <v>132</v>
      </c>
      <c r="F121" t="s">
        <v>78</v>
      </c>
      <c r="G121">
        <v>8.2000000000000003E-2</v>
      </c>
      <c r="H121" t="s">
        <v>11</v>
      </c>
    </row>
    <row r="122" spans="1:8" x14ac:dyDescent="0.25">
      <c r="A122" t="str">
        <f t="shared" si="1"/>
        <v>31-Jul-18</v>
      </c>
      <c r="B122" t="s">
        <v>7</v>
      </c>
      <c r="C122" t="s">
        <v>8</v>
      </c>
      <c r="D122" t="str">
        <f>"2654416"</f>
        <v>2654416</v>
      </c>
      <c r="E122" t="s">
        <v>133</v>
      </c>
      <c r="F122" t="s">
        <v>78</v>
      </c>
      <c r="G122">
        <v>6.0000000000000001E-3</v>
      </c>
      <c r="H122" t="s">
        <v>11</v>
      </c>
    </row>
    <row r="123" spans="1:8" x14ac:dyDescent="0.25">
      <c r="A123" t="str">
        <f t="shared" si="1"/>
        <v>31-Jul-18</v>
      </c>
      <c r="B123" t="s">
        <v>7</v>
      </c>
      <c r="C123" t="s">
        <v>8</v>
      </c>
      <c r="D123" t="str">
        <f>"2583952"</f>
        <v>2583952</v>
      </c>
      <c r="E123" t="s">
        <v>134</v>
      </c>
      <c r="F123" t="s">
        <v>78</v>
      </c>
      <c r="G123">
        <v>1.7999999999999999E-2</v>
      </c>
      <c r="H123" t="s">
        <v>11</v>
      </c>
    </row>
    <row r="124" spans="1:8" x14ac:dyDescent="0.25">
      <c r="A124" t="str">
        <f t="shared" si="1"/>
        <v>31-Jul-18</v>
      </c>
      <c r="B124" t="s">
        <v>7</v>
      </c>
      <c r="C124" t="s">
        <v>8</v>
      </c>
      <c r="D124" t="str">
        <f>"2077303"</f>
        <v>2077303</v>
      </c>
      <c r="E124" t="s">
        <v>135</v>
      </c>
      <c r="F124" t="s">
        <v>78</v>
      </c>
      <c r="G124">
        <v>6.9000000000000006E-2</v>
      </c>
      <c r="H124" t="s">
        <v>11</v>
      </c>
    </row>
    <row r="125" spans="1:8" x14ac:dyDescent="0.25">
      <c r="A125" t="str">
        <f t="shared" si="1"/>
        <v>31-Jul-18</v>
      </c>
      <c r="B125" t="s">
        <v>7</v>
      </c>
      <c r="C125" t="s">
        <v>8</v>
      </c>
      <c r="D125" t="str">
        <f>"BDRJLN0"</f>
        <v>BDRJLN0</v>
      </c>
      <c r="E125" t="s">
        <v>136</v>
      </c>
      <c r="F125" t="s">
        <v>78</v>
      </c>
      <c r="G125">
        <v>7.3999999999999996E-2</v>
      </c>
      <c r="H125" t="s">
        <v>11</v>
      </c>
    </row>
    <row r="126" spans="1:8" x14ac:dyDescent="0.25">
      <c r="A126" t="str">
        <f t="shared" si="1"/>
        <v>31-Jul-18</v>
      </c>
      <c r="B126" t="s">
        <v>7</v>
      </c>
      <c r="C126" t="s">
        <v>8</v>
      </c>
      <c r="D126" t="str">
        <f>"2659518"</f>
        <v>2659518</v>
      </c>
      <c r="E126" t="s">
        <v>137</v>
      </c>
      <c r="F126" t="s">
        <v>78</v>
      </c>
      <c r="G126">
        <v>1.2999999999999999E-2</v>
      </c>
      <c r="H126" t="s">
        <v>11</v>
      </c>
    </row>
    <row r="127" spans="1:8" x14ac:dyDescent="0.25">
      <c r="A127" t="str">
        <f t="shared" si="1"/>
        <v>31-Jul-18</v>
      </c>
      <c r="B127" t="s">
        <v>7</v>
      </c>
      <c r="C127" t="s">
        <v>8</v>
      </c>
      <c r="D127" t="str">
        <f>"2260824"</f>
        <v>2260824</v>
      </c>
      <c r="E127" t="s">
        <v>138</v>
      </c>
      <c r="F127" t="s">
        <v>78</v>
      </c>
      <c r="G127">
        <v>1.9E-2</v>
      </c>
      <c r="H127" t="s">
        <v>11</v>
      </c>
    </row>
    <row r="128" spans="1:8" x14ac:dyDescent="0.25">
      <c r="A128" t="str">
        <f t="shared" si="1"/>
        <v>31-Jul-18</v>
      </c>
      <c r="B128" t="s">
        <v>7</v>
      </c>
      <c r="C128" t="s">
        <v>8</v>
      </c>
      <c r="D128" t="str">
        <f>"B4PT2P8"</f>
        <v>B4PT2P8</v>
      </c>
      <c r="E128" t="s">
        <v>139</v>
      </c>
      <c r="F128" t="s">
        <v>78</v>
      </c>
      <c r="G128">
        <v>4.1000000000000002E-2</v>
      </c>
      <c r="H128" t="s">
        <v>11</v>
      </c>
    </row>
    <row r="129" spans="1:8" x14ac:dyDescent="0.25">
      <c r="A129" t="str">
        <f t="shared" si="1"/>
        <v>31-Jul-18</v>
      </c>
      <c r="B129" t="s">
        <v>7</v>
      </c>
      <c r="C129" t="s">
        <v>8</v>
      </c>
      <c r="D129" t="str">
        <f>"2697701"</f>
        <v>2697701</v>
      </c>
      <c r="E129" t="s">
        <v>140</v>
      </c>
      <c r="F129" t="s">
        <v>78</v>
      </c>
      <c r="G129">
        <v>1.7000000000000001E-2</v>
      </c>
      <c r="H129" t="s">
        <v>11</v>
      </c>
    </row>
    <row r="130" spans="1:8" x14ac:dyDescent="0.25">
      <c r="A130" t="str">
        <f t="shared" ref="A130:A193" si="2">"31-Jul-18"</f>
        <v>31-Jul-18</v>
      </c>
      <c r="B130" t="s">
        <v>7</v>
      </c>
      <c r="C130" t="s">
        <v>8</v>
      </c>
      <c r="D130" t="str">
        <f>"2697864"</f>
        <v>2697864</v>
      </c>
      <c r="E130" t="s">
        <v>141</v>
      </c>
      <c r="F130" t="s">
        <v>78</v>
      </c>
      <c r="G130">
        <v>1.2E-2</v>
      </c>
      <c r="H130" t="s">
        <v>11</v>
      </c>
    </row>
    <row r="131" spans="1:8" x14ac:dyDescent="0.25">
      <c r="A131" t="str">
        <f t="shared" si="2"/>
        <v>31-Jul-18</v>
      </c>
      <c r="B131" t="s">
        <v>7</v>
      </c>
      <c r="C131" t="s">
        <v>8</v>
      </c>
      <c r="D131" t="str">
        <f>"BN320L4"</f>
        <v>BN320L4</v>
      </c>
      <c r="E131" t="s">
        <v>142</v>
      </c>
      <c r="F131" t="s">
        <v>78</v>
      </c>
      <c r="G131">
        <v>1.6E-2</v>
      </c>
      <c r="H131" t="s">
        <v>11</v>
      </c>
    </row>
    <row r="132" spans="1:8" x14ac:dyDescent="0.25">
      <c r="A132" t="str">
        <f t="shared" si="2"/>
        <v>31-Jul-18</v>
      </c>
      <c r="B132" t="s">
        <v>7</v>
      </c>
      <c r="C132" t="s">
        <v>8</v>
      </c>
      <c r="D132" t="str">
        <f>"BTF8CF0"</f>
        <v>BTF8CF0</v>
      </c>
      <c r="E132" t="s">
        <v>143</v>
      </c>
      <c r="F132" t="s">
        <v>78</v>
      </c>
      <c r="G132">
        <v>3.1E-2</v>
      </c>
      <c r="H132" t="s">
        <v>11</v>
      </c>
    </row>
    <row r="133" spans="1:8" x14ac:dyDescent="0.25">
      <c r="A133" t="str">
        <f t="shared" si="2"/>
        <v>31-Jul-18</v>
      </c>
      <c r="B133" t="s">
        <v>7</v>
      </c>
      <c r="C133" t="s">
        <v>8</v>
      </c>
      <c r="D133" t="str">
        <f>"2229610"</f>
        <v>2229610</v>
      </c>
      <c r="E133" t="s">
        <v>144</v>
      </c>
      <c r="F133" t="s">
        <v>78</v>
      </c>
      <c r="G133">
        <v>3.0000000000000001E-3</v>
      </c>
      <c r="H133" t="s">
        <v>11</v>
      </c>
    </row>
    <row r="134" spans="1:8" x14ac:dyDescent="0.25">
      <c r="A134" t="str">
        <f t="shared" si="2"/>
        <v>31-Jul-18</v>
      </c>
      <c r="B134" t="s">
        <v>7</v>
      </c>
      <c r="C134" t="s">
        <v>8</v>
      </c>
      <c r="D134" t="str">
        <f>"2169051"</f>
        <v>2169051</v>
      </c>
      <c r="E134" t="s">
        <v>145</v>
      </c>
      <c r="F134" t="s">
        <v>78</v>
      </c>
      <c r="G134">
        <v>0.06</v>
      </c>
      <c r="H134" t="s">
        <v>11</v>
      </c>
    </row>
    <row r="135" spans="1:8" x14ac:dyDescent="0.25">
      <c r="A135" t="str">
        <f t="shared" si="2"/>
        <v>31-Jul-18</v>
      </c>
      <c r="B135" t="s">
        <v>7</v>
      </c>
      <c r="C135" t="s">
        <v>8</v>
      </c>
      <c r="D135" t="str">
        <f>"2754383"</f>
        <v>2754383</v>
      </c>
      <c r="E135" t="s">
        <v>146</v>
      </c>
      <c r="F135" t="s">
        <v>78</v>
      </c>
      <c r="G135">
        <v>0.255</v>
      </c>
      <c r="H135" t="s">
        <v>11</v>
      </c>
    </row>
    <row r="136" spans="1:8" x14ac:dyDescent="0.25">
      <c r="A136" t="str">
        <f t="shared" si="2"/>
        <v>31-Jul-18</v>
      </c>
      <c r="B136" t="s">
        <v>7</v>
      </c>
      <c r="C136" t="s">
        <v>8</v>
      </c>
      <c r="D136" t="str">
        <f>"2112226"</f>
        <v>2112226</v>
      </c>
      <c r="E136" t="s">
        <v>147</v>
      </c>
      <c r="F136" t="s">
        <v>78</v>
      </c>
      <c r="G136">
        <v>8.9999999999999993E-3</v>
      </c>
      <c r="H136" t="s">
        <v>11</v>
      </c>
    </row>
    <row r="137" spans="1:8" x14ac:dyDescent="0.25">
      <c r="A137" t="str">
        <f t="shared" si="2"/>
        <v>31-Jul-18</v>
      </c>
      <c r="B137" t="s">
        <v>7</v>
      </c>
      <c r="C137" t="s">
        <v>8</v>
      </c>
      <c r="D137" t="str">
        <f>"BRK0MM4"</f>
        <v>BRK0MM4</v>
      </c>
      <c r="E137" t="s">
        <v>148</v>
      </c>
      <c r="F137" t="s">
        <v>78</v>
      </c>
      <c r="G137">
        <v>6.0000000000000001E-3</v>
      </c>
      <c r="H137" t="s">
        <v>11</v>
      </c>
    </row>
    <row r="138" spans="1:8" x14ac:dyDescent="0.25">
      <c r="A138" t="str">
        <f t="shared" si="2"/>
        <v>31-Jul-18</v>
      </c>
      <c r="B138" t="s">
        <v>7</v>
      </c>
      <c r="C138" t="s">
        <v>8</v>
      </c>
      <c r="D138" t="str">
        <f>"2801836"</f>
        <v>2801836</v>
      </c>
      <c r="E138" t="s">
        <v>149</v>
      </c>
      <c r="F138" t="s">
        <v>78</v>
      </c>
      <c r="G138">
        <v>1.4999999999999999E-2</v>
      </c>
      <c r="H138" t="s">
        <v>11</v>
      </c>
    </row>
    <row r="139" spans="1:8" x14ac:dyDescent="0.25">
      <c r="A139" t="str">
        <f t="shared" si="2"/>
        <v>31-Jul-18</v>
      </c>
      <c r="B139" t="s">
        <v>7</v>
      </c>
      <c r="C139" t="s">
        <v>8</v>
      </c>
      <c r="D139" t="str">
        <f>"BX865C7"</f>
        <v>BX865C7</v>
      </c>
      <c r="E139" t="s">
        <v>150</v>
      </c>
      <c r="F139" t="s">
        <v>78</v>
      </c>
      <c r="G139">
        <v>2.4E-2</v>
      </c>
      <c r="H139" t="s">
        <v>11</v>
      </c>
    </row>
    <row r="140" spans="1:8" x14ac:dyDescent="0.25">
      <c r="A140" t="str">
        <f t="shared" si="2"/>
        <v>31-Jul-18</v>
      </c>
      <c r="B140" t="s">
        <v>7</v>
      </c>
      <c r="C140" t="s">
        <v>8</v>
      </c>
      <c r="D140" t="str">
        <f>"2810702"</f>
        <v>2810702</v>
      </c>
      <c r="E140" t="s">
        <v>151</v>
      </c>
      <c r="F140" t="s">
        <v>78</v>
      </c>
      <c r="G140">
        <v>0</v>
      </c>
      <c r="H140" t="s">
        <v>11</v>
      </c>
    </row>
    <row r="141" spans="1:8" x14ac:dyDescent="0.25">
      <c r="A141" t="str">
        <f t="shared" si="2"/>
        <v>31-Jul-18</v>
      </c>
      <c r="B141" t="s">
        <v>7</v>
      </c>
      <c r="C141" t="s">
        <v>8</v>
      </c>
      <c r="D141" t="str">
        <f>"2566124"</f>
        <v>2566124</v>
      </c>
      <c r="E141" t="s">
        <v>152</v>
      </c>
      <c r="F141" t="s">
        <v>78</v>
      </c>
      <c r="G141">
        <v>0.108</v>
      </c>
      <c r="H141" t="s">
        <v>11</v>
      </c>
    </row>
    <row r="142" spans="1:8" x14ac:dyDescent="0.25">
      <c r="A142" t="str">
        <f t="shared" si="2"/>
        <v>31-Jul-18</v>
      </c>
      <c r="B142" t="s">
        <v>7</v>
      </c>
      <c r="C142" t="s">
        <v>8</v>
      </c>
      <c r="D142" t="str">
        <f>"B3NB1P2"</f>
        <v>B3NB1P2</v>
      </c>
      <c r="E142" t="s">
        <v>153</v>
      </c>
      <c r="F142" t="s">
        <v>78</v>
      </c>
      <c r="G142">
        <v>0.151</v>
      </c>
      <c r="H142" t="s">
        <v>11</v>
      </c>
    </row>
    <row r="143" spans="1:8" x14ac:dyDescent="0.25">
      <c r="A143" t="str">
        <f t="shared" si="2"/>
        <v>31-Jul-18</v>
      </c>
      <c r="B143" t="s">
        <v>7</v>
      </c>
      <c r="C143" t="s">
        <v>8</v>
      </c>
      <c r="D143" t="str">
        <f>"2381093"</f>
        <v>2381093</v>
      </c>
      <c r="E143" t="s">
        <v>154</v>
      </c>
      <c r="F143" t="s">
        <v>78</v>
      </c>
      <c r="G143">
        <v>3.2000000000000001E-2</v>
      </c>
      <c r="H143" t="s">
        <v>11</v>
      </c>
    </row>
    <row r="144" spans="1:8" x14ac:dyDescent="0.25">
      <c r="A144" t="str">
        <f t="shared" si="2"/>
        <v>31-Jul-18</v>
      </c>
      <c r="B144" t="s">
        <v>7</v>
      </c>
      <c r="C144" t="s">
        <v>8</v>
      </c>
      <c r="D144" t="str">
        <f>"2879327"</f>
        <v>2879327</v>
      </c>
      <c r="E144" t="s">
        <v>155</v>
      </c>
      <c r="F144" t="s">
        <v>78</v>
      </c>
      <c r="G144">
        <v>2.9000000000000001E-2</v>
      </c>
      <c r="H144" t="s">
        <v>11</v>
      </c>
    </row>
    <row r="145" spans="1:8" x14ac:dyDescent="0.25">
      <c r="A145" t="str">
        <f t="shared" si="2"/>
        <v>31-Jul-18</v>
      </c>
      <c r="B145" t="s">
        <v>7</v>
      </c>
      <c r="C145" t="s">
        <v>8</v>
      </c>
      <c r="D145" t="str">
        <f>"2889371"</f>
        <v>2889371</v>
      </c>
      <c r="E145" t="s">
        <v>156</v>
      </c>
      <c r="F145" t="s">
        <v>78</v>
      </c>
      <c r="G145">
        <v>2.7E-2</v>
      </c>
      <c r="H145" t="s">
        <v>11</v>
      </c>
    </row>
    <row r="146" spans="1:8" x14ac:dyDescent="0.25">
      <c r="A146" t="str">
        <f t="shared" si="2"/>
        <v>31-Jul-18</v>
      </c>
      <c r="B146" t="s">
        <v>7</v>
      </c>
      <c r="C146" t="s">
        <v>8</v>
      </c>
      <c r="D146" t="str">
        <f>"2897222"</f>
        <v>2897222</v>
      </c>
      <c r="E146" t="s">
        <v>157</v>
      </c>
      <c r="F146" t="s">
        <v>78</v>
      </c>
      <c r="G146">
        <v>0.46500000000000002</v>
      </c>
      <c r="H146" t="s">
        <v>11</v>
      </c>
    </row>
    <row r="147" spans="1:8" x14ac:dyDescent="0.25">
      <c r="A147" t="str">
        <f t="shared" si="2"/>
        <v>31-Jul-18</v>
      </c>
      <c r="B147" t="s">
        <v>7</v>
      </c>
      <c r="C147" t="s">
        <v>8</v>
      </c>
      <c r="D147" t="str">
        <f>"B3QJ0H8"</f>
        <v>B3QJ0H8</v>
      </c>
      <c r="E147" t="s">
        <v>158</v>
      </c>
      <c r="F147" t="s">
        <v>78</v>
      </c>
      <c r="G147">
        <v>8.9999999999999993E-3</v>
      </c>
      <c r="H147" t="s">
        <v>11</v>
      </c>
    </row>
    <row r="148" spans="1:8" x14ac:dyDescent="0.25">
      <c r="A148" t="str">
        <f t="shared" si="2"/>
        <v>31-Jul-18</v>
      </c>
      <c r="B148" t="s">
        <v>7</v>
      </c>
      <c r="C148" t="s">
        <v>8</v>
      </c>
      <c r="D148" t="str">
        <f>"2665184"</f>
        <v>2665184</v>
      </c>
      <c r="E148" t="s">
        <v>159</v>
      </c>
      <c r="F148" t="s">
        <v>78</v>
      </c>
      <c r="G148">
        <v>7.2999999999999995E-2</v>
      </c>
      <c r="H148" t="s">
        <v>11</v>
      </c>
    </row>
    <row r="149" spans="1:8" x14ac:dyDescent="0.25">
      <c r="A149" t="str">
        <f t="shared" si="2"/>
        <v>31-Jul-18</v>
      </c>
      <c r="B149" t="s">
        <v>7</v>
      </c>
      <c r="C149" t="s">
        <v>8</v>
      </c>
      <c r="D149" t="str">
        <f>"B7WJ1F5"</f>
        <v>B7WJ1F5</v>
      </c>
      <c r="E149" t="s">
        <v>160</v>
      </c>
      <c r="F149" t="s">
        <v>78</v>
      </c>
      <c r="G149">
        <v>3.0000000000000001E-3</v>
      </c>
      <c r="H149" t="s">
        <v>11</v>
      </c>
    </row>
    <row r="150" spans="1:8" x14ac:dyDescent="0.25">
      <c r="A150" t="str">
        <f t="shared" si="2"/>
        <v>31-Jul-18</v>
      </c>
      <c r="B150" t="s">
        <v>7</v>
      </c>
      <c r="C150" t="s">
        <v>8</v>
      </c>
      <c r="D150" t="str">
        <f>"B607XS1"</f>
        <v>B607XS1</v>
      </c>
      <c r="E150" t="s">
        <v>161</v>
      </c>
      <c r="F150" t="s">
        <v>78</v>
      </c>
      <c r="G150">
        <v>8.0000000000000002E-3</v>
      </c>
      <c r="H150" t="s">
        <v>11</v>
      </c>
    </row>
    <row r="151" spans="1:8" x14ac:dyDescent="0.25">
      <c r="A151" t="str">
        <f t="shared" si="2"/>
        <v>31-Jul-18</v>
      </c>
      <c r="B151" t="s">
        <v>7</v>
      </c>
      <c r="C151" t="s">
        <v>8</v>
      </c>
      <c r="D151" t="str">
        <f>"BHR3R21"</f>
        <v>BHR3R21</v>
      </c>
      <c r="E151" t="s">
        <v>162</v>
      </c>
      <c r="F151" t="s">
        <v>78</v>
      </c>
      <c r="G151">
        <v>0.01</v>
      </c>
      <c r="H151" t="s">
        <v>11</v>
      </c>
    </row>
    <row r="152" spans="1:8" x14ac:dyDescent="0.25">
      <c r="A152" t="str">
        <f t="shared" si="2"/>
        <v>31-Jul-18</v>
      </c>
      <c r="B152" t="s">
        <v>7</v>
      </c>
      <c r="C152" t="s">
        <v>8</v>
      </c>
      <c r="D152" t="str">
        <f>"2951098"</f>
        <v>2951098</v>
      </c>
      <c r="E152" t="s">
        <v>163</v>
      </c>
      <c r="F152" t="s">
        <v>78</v>
      </c>
      <c r="G152">
        <v>8.0000000000000002E-3</v>
      </c>
      <c r="H152" t="s">
        <v>11</v>
      </c>
    </row>
    <row r="153" spans="1:8" x14ac:dyDescent="0.25">
      <c r="A153" t="str">
        <f t="shared" si="2"/>
        <v>31-Jul-18</v>
      </c>
      <c r="B153" t="s">
        <v>7</v>
      </c>
      <c r="C153" t="s">
        <v>8</v>
      </c>
      <c r="D153" t="str">
        <f>"BF13KN5"</f>
        <v>BF13KN5</v>
      </c>
      <c r="E153" t="s">
        <v>164</v>
      </c>
      <c r="F153" t="s">
        <v>78</v>
      </c>
      <c r="G153">
        <v>1.4999999999999999E-2</v>
      </c>
      <c r="H153" t="s">
        <v>11</v>
      </c>
    </row>
    <row r="154" spans="1:8" x14ac:dyDescent="0.25">
      <c r="A154" t="str">
        <f t="shared" si="2"/>
        <v>31-Jul-18</v>
      </c>
      <c r="B154" t="s">
        <v>7</v>
      </c>
      <c r="C154" t="s">
        <v>75</v>
      </c>
      <c r="F154" t="s">
        <v>78</v>
      </c>
      <c r="G154">
        <v>1.4999999999999999E-2</v>
      </c>
      <c r="H154" t="s">
        <v>165</v>
      </c>
    </row>
    <row r="155" spans="1:8" x14ac:dyDescent="0.25">
      <c r="A155" t="str">
        <f t="shared" si="2"/>
        <v>31-Jul-18</v>
      </c>
      <c r="B155" t="s">
        <v>7</v>
      </c>
      <c r="C155" t="s">
        <v>8</v>
      </c>
      <c r="D155" t="str">
        <f>"7108899"</f>
        <v>7108899</v>
      </c>
      <c r="E155" t="s">
        <v>166</v>
      </c>
      <c r="F155" t="s">
        <v>167</v>
      </c>
      <c r="G155">
        <v>0.185</v>
      </c>
      <c r="H155" t="s">
        <v>11</v>
      </c>
    </row>
    <row r="156" spans="1:8" x14ac:dyDescent="0.25">
      <c r="A156" t="str">
        <f t="shared" si="2"/>
        <v>31-Jul-18</v>
      </c>
      <c r="B156" t="s">
        <v>7</v>
      </c>
      <c r="C156" t="s">
        <v>8</v>
      </c>
      <c r="D156" t="str">
        <f>"7110720"</f>
        <v>7110720</v>
      </c>
      <c r="E156" t="s">
        <v>168</v>
      </c>
      <c r="F156" t="s">
        <v>167</v>
      </c>
      <c r="G156">
        <v>4.2999999999999997E-2</v>
      </c>
      <c r="H156" t="s">
        <v>11</v>
      </c>
    </row>
    <row r="157" spans="1:8" x14ac:dyDescent="0.25">
      <c r="A157" t="str">
        <f t="shared" si="2"/>
        <v>31-Jul-18</v>
      </c>
      <c r="B157" t="s">
        <v>7</v>
      </c>
      <c r="C157" t="s">
        <v>8</v>
      </c>
      <c r="D157" t="str">
        <f>"7124594"</f>
        <v>7124594</v>
      </c>
      <c r="E157" t="s">
        <v>169</v>
      </c>
      <c r="F157" t="s">
        <v>167</v>
      </c>
      <c r="G157">
        <v>1.0999999999999999E-2</v>
      </c>
      <c r="H157" t="s">
        <v>11</v>
      </c>
    </row>
    <row r="158" spans="1:8" x14ac:dyDescent="0.25">
      <c r="A158" t="str">
        <f t="shared" si="2"/>
        <v>31-Jul-18</v>
      </c>
      <c r="B158" t="s">
        <v>7</v>
      </c>
      <c r="C158" t="s">
        <v>8</v>
      </c>
      <c r="D158" t="str">
        <f>"5476929"</f>
        <v>5476929</v>
      </c>
      <c r="E158" t="s">
        <v>170</v>
      </c>
      <c r="F158" t="s">
        <v>167</v>
      </c>
      <c r="G158">
        <v>1.4999999999999999E-2</v>
      </c>
      <c r="H158" t="s">
        <v>11</v>
      </c>
    </row>
    <row r="159" spans="1:8" x14ac:dyDescent="0.25">
      <c r="A159" t="str">
        <f t="shared" si="2"/>
        <v>31-Jul-18</v>
      </c>
      <c r="B159" t="s">
        <v>7</v>
      </c>
      <c r="C159" t="s">
        <v>8</v>
      </c>
      <c r="D159" t="str">
        <f>"5962280"</f>
        <v>5962280</v>
      </c>
      <c r="E159" t="s">
        <v>171</v>
      </c>
      <c r="F159" t="s">
        <v>167</v>
      </c>
      <c r="G159">
        <v>3.2000000000000001E-2</v>
      </c>
      <c r="H159" t="s">
        <v>11</v>
      </c>
    </row>
    <row r="160" spans="1:8" x14ac:dyDescent="0.25">
      <c r="A160" t="str">
        <f t="shared" si="2"/>
        <v>31-Jul-18</v>
      </c>
      <c r="B160" t="s">
        <v>7</v>
      </c>
      <c r="C160" t="s">
        <v>8</v>
      </c>
      <c r="D160" t="str">
        <f>"5962309"</f>
        <v>5962309</v>
      </c>
      <c r="E160" t="s">
        <v>172</v>
      </c>
      <c r="F160" t="s">
        <v>167</v>
      </c>
      <c r="G160">
        <v>2.1999999999999999E-2</v>
      </c>
      <c r="H160" t="s">
        <v>11</v>
      </c>
    </row>
    <row r="161" spans="1:8" x14ac:dyDescent="0.25">
      <c r="A161" t="str">
        <f t="shared" si="2"/>
        <v>31-Jul-18</v>
      </c>
      <c r="B161" t="s">
        <v>7</v>
      </c>
      <c r="C161" t="s">
        <v>8</v>
      </c>
      <c r="D161" t="str">
        <f>"BCRWZ18"</f>
        <v>BCRWZ18</v>
      </c>
      <c r="E161" t="s">
        <v>173</v>
      </c>
      <c r="F161" t="s">
        <v>167</v>
      </c>
      <c r="G161">
        <v>0.187</v>
      </c>
      <c r="H161" t="s">
        <v>11</v>
      </c>
    </row>
    <row r="162" spans="1:8" x14ac:dyDescent="0.25">
      <c r="A162" t="str">
        <f t="shared" si="2"/>
        <v>31-Jul-18</v>
      </c>
      <c r="B162" t="s">
        <v>7</v>
      </c>
      <c r="C162" t="s">
        <v>8</v>
      </c>
      <c r="D162" t="str">
        <f>"7113990"</f>
        <v>7113990</v>
      </c>
      <c r="E162" t="s">
        <v>174</v>
      </c>
      <c r="F162" t="s">
        <v>167</v>
      </c>
      <c r="G162">
        <v>2.1000000000000001E-2</v>
      </c>
      <c r="H162" t="s">
        <v>11</v>
      </c>
    </row>
    <row r="163" spans="1:8" x14ac:dyDescent="0.25">
      <c r="A163" t="str">
        <f t="shared" si="2"/>
        <v>31-Jul-18</v>
      </c>
      <c r="B163" t="s">
        <v>7</v>
      </c>
      <c r="C163" t="s">
        <v>8</v>
      </c>
      <c r="D163" t="str">
        <f>"7171589"</f>
        <v>7171589</v>
      </c>
      <c r="E163" t="s">
        <v>175</v>
      </c>
      <c r="F163" t="s">
        <v>167</v>
      </c>
      <c r="G163">
        <v>0.08</v>
      </c>
      <c r="H163" t="s">
        <v>11</v>
      </c>
    </row>
    <row r="164" spans="1:8" x14ac:dyDescent="0.25">
      <c r="A164" t="str">
        <f t="shared" si="2"/>
        <v>31-Jul-18</v>
      </c>
      <c r="B164" t="s">
        <v>7</v>
      </c>
      <c r="C164" t="s">
        <v>8</v>
      </c>
      <c r="D164" t="str">
        <f>"B0R80X9"</f>
        <v>B0R80X9</v>
      </c>
      <c r="E164" t="s">
        <v>176</v>
      </c>
      <c r="F164" t="s">
        <v>167</v>
      </c>
      <c r="G164">
        <v>8.0000000000000002E-3</v>
      </c>
      <c r="H164" t="s">
        <v>11</v>
      </c>
    </row>
    <row r="165" spans="1:8" x14ac:dyDescent="0.25">
      <c r="A165" t="str">
        <f t="shared" si="2"/>
        <v>31-Jul-18</v>
      </c>
      <c r="B165" t="s">
        <v>7</v>
      </c>
      <c r="C165" t="s">
        <v>8</v>
      </c>
      <c r="D165" t="str">
        <f>"7635610"</f>
        <v>7635610</v>
      </c>
      <c r="E165" t="s">
        <v>177</v>
      </c>
      <c r="F165" t="s">
        <v>167</v>
      </c>
      <c r="G165">
        <v>1.0999999999999999E-2</v>
      </c>
      <c r="H165" t="s">
        <v>11</v>
      </c>
    </row>
    <row r="166" spans="1:8" x14ac:dyDescent="0.25">
      <c r="A166" t="str">
        <f t="shared" si="2"/>
        <v>31-Jul-18</v>
      </c>
      <c r="B166" t="s">
        <v>7</v>
      </c>
      <c r="C166" t="s">
        <v>8</v>
      </c>
      <c r="D166" t="str">
        <f>"B1WGG93"</f>
        <v>B1WGG93</v>
      </c>
      <c r="E166" t="s">
        <v>178</v>
      </c>
      <c r="F166" t="s">
        <v>167</v>
      </c>
      <c r="G166">
        <v>7.0999999999999994E-2</v>
      </c>
      <c r="H166" t="s">
        <v>11</v>
      </c>
    </row>
    <row r="167" spans="1:8" x14ac:dyDescent="0.25">
      <c r="A167" t="str">
        <f t="shared" si="2"/>
        <v>31-Jul-18</v>
      </c>
      <c r="B167" t="s">
        <v>7</v>
      </c>
      <c r="C167" t="s">
        <v>8</v>
      </c>
      <c r="D167" t="str">
        <f>"5980613"</f>
        <v>5980613</v>
      </c>
      <c r="E167" t="s">
        <v>179</v>
      </c>
      <c r="F167" t="s">
        <v>167</v>
      </c>
      <c r="G167">
        <v>9.2999999999999999E-2</v>
      </c>
      <c r="H167" t="s">
        <v>11</v>
      </c>
    </row>
    <row r="168" spans="1:8" x14ac:dyDescent="0.25">
      <c r="A168" t="str">
        <f t="shared" si="2"/>
        <v>31-Jul-18</v>
      </c>
      <c r="B168" t="s">
        <v>7</v>
      </c>
      <c r="C168" t="s">
        <v>8</v>
      </c>
      <c r="D168" t="str">
        <f>"B4R2R50"</f>
        <v>B4R2R50</v>
      </c>
      <c r="E168" t="s">
        <v>180</v>
      </c>
      <c r="F168" t="s">
        <v>167</v>
      </c>
      <c r="G168">
        <v>2.4E-2</v>
      </c>
      <c r="H168" t="s">
        <v>11</v>
      </c>
    </row>
    <row r="169" spans="1:8" x14ac:dyDescent="0.25">
      <c r="A169" t="str">
        <f t="shared" si="2"/>
        <v>31-Jul-18</v>
      </c>
      <c r="B169" t="s">
        <v>7</v>
      </c>
      <c r="C169" t="s">
        <v>8</v>
      </c>
      <c r="D169" t="str">
        <f>"B142S60"</f>
        <v>B142S60</v>
      </c>
      <c r="E169" t="s">
        <v>181</v>
      </c>
      <c r="F169" t="s">
        <v>167</v>
      </c>
      <c r="G169">
        <v>4.1000000000000002E-2</v>
      </c>
      <c r="H169" t="s">
        <v>11</v>
      </c>
    </row>
    <row r="170" spans="1:8" x14ac:dyDescent="0.25">
      <c r="A170" t="str">
        <f t="shared" si="2"/>
        <v>31-Jul-18</v>
      </c>
      <c r="B170" t="s">
        <v>7</v>
      </c>
      <c r="C170" t="s">
        <v>8</v>
      </c>
      <c r="D170" t="str">
        <f>"7110753"</f>
        <v>7110753</v>
      </c>
      <c r="E170" t="s">
        <v>182</v>
      </c>
      <c r="F170" t="s">
        <v>167</v>
      </c>
      <c r="G170">
        <v>4.8000000000000001E-2</v>
      </c>
      <c r="H170" t="s">
        <v>11</v>
      </c>
    </row>
    <row r="171" spans="1:8" x14ac:dyDescent="0.25">
      <c r="A171" t="str">
        <f t="shared" si="2"/>
        <v>31-Jul-18</v>
      </c>
      <c r="B171" t="s">
        <v>7</v>
      </c>
      <c r="C171" t="s">
        <v>8</v>
      </c>
      <c r="D171" t="str">
        <f>"7333378"</f>
        <v>7333378</v>
      </c>
      <c r="E171" t="s">
        <v>183</v>
      </c>
      <c r="F171" t="s">
        <v>167</v>
      </c>
      <c r="G171">
        <v>9.4E-2</v>
      </c>
      <c r="H171" t="s">
        <v>11</v>
      </c>
    </row>
    <row r="172" spans="1:8" x14ac:dyDescent="0.25">
      <c r="A172" t="str">
        <f t="shared" si="2"/>
        <v>31-Jul-18</v>
      </c>
      <c r="B172" t="s">
        <v>7</v>
      </c>
      <c r="C172" t="s">
        <v>8</v>
      </c>
      <c r="D172" t="str">
        <f>"7123870"</f>
        <v>7123870</v>
      </c>
      <c r="E172" t="s">
        <v>184</v>
      </c>
      <c r="F172" t="s">
        <v>167</v>
      </c>
      <c r="G172">
        <v>1.05</v>
      </c>
      <c r="H172" t="s">
        <v>11</v>
      </c>
    </row>
    <row r="173" spans="1:8" x14ac:dyDescent="0.25">
      <c r="A173" t="str">
        <f t="shared" si="2"/>
        <v>31-Jul-18</v>
      </c>
      <c r="B173" t="s">
        <v>7</v>
      </c>
      <c r="C173" t="s">
        <v>8</v>
      </c>
      <c r="D173" t="str">
        <f>"B0CDLF8"</f>
        <v>B0CDLF8</v>
      </c>
      <c r="E173" t="s">
        <v>185</v>
      </c>
      <c r="F173" t="s">
        <v>167</v>
      </c>
      <c r="G173">
        <v>6.0000000000000001E-3</v>
      </c>
      <c r="H173" t="s">
        <v>11</v>
      </c>
    </row>
    <row r="174" spans="1:8" x14ac:dyDescent="0.25">
      <c r="A174" t="str">
        <f t="shared" si="2"/>
        <v>31-Jul-18</v>
      </c>
      <c r="B174" t="s">
        <v>7</v>
      </c>
      <c r="C174" t="s">
        <v>8</v>
      </c>
      <c r="D174" t="str">
        <f>"B119QG0"</f>
        <v>B119QG0</v>
      </c>
      <c r="E174" t="s">
        <v>186</v>
      </c>
      <c r="F174" t="s">
        <v>167</v>
      </c>
      <c r="G174">
        <v>2.8000000000000001E-2</v>
      </c>
      <c r="H174" t="s">
        <v>11</v>
      </c>
    </row>
    <row r="175" spans="1:8" x14ac:dyDescent="0.25">
      <c r="A175" t="str">
        <f t="shared" si="2"/>
        <v>31-Jul-18</v>
      </c>
      <c r="B175" t="s">
        <v>7</v>
      </c>
      <c r="C175" t="s">
        <v>8</v>
      </c>
      <c r="D175" t="str">
        <f>"7110388"</f>
        <v>7110388</v>
      </c>
      <c r="E175" t="s">
        <v>187</v>
      </c>
      <c r="F175" t="s">
        <v>167</v>
      </c>
      <c r="G175">
        <v>0.38</v>
      </c>
      <c r="H175" t="s">
        <v>11</v>
      </c>
    </row>
    <row r="176" spans="1:8" x14ac:dyDescent="0.25">
      <c r="A176" t="str">
        <f t="shared" si="2"/>
        <v>31-Jul-18</v>
      </c>
      <c r="B176" t="s">
        <v>7</v>
      </c>
      <c r="C176" t="s">
        <v>8</v>
      </c>
      <c r="D176" t="str">
        <f>"4824778"</f>
        <v>4824778</v>
      </c>
      <c r="E176" t="s">
        <v>188</v>
      </c>
      <c r="F176" t="s">
        <v>167</v>
      </c>
      <c r="G176">
        <v>6.0999999999999999E-2</v>
      </c>
      <c r="H176" t="s">
        <v>11</v>
      </c>
    </row>
    <row r="177" spans="1:8" x14ac:dyDescent="0.25">
      <c r="A177" t="str">
        <f t="shared" si="2"/>
        <v>31-Jul-18</v>
      </c>
      <c r="B177" t="s">
        <v>7</v>
      </c>
      <c r="C177" t="s">
        <v>8</v>
      </c>
      <c r="D177" t="str">
        <f>"B11WWH2"</f>
        <v>B11WWH2</v>
      </c>
      <c r="E177" t="s">
        <v>189</v>
      </c>
      <c r="F177" t="s">
        <v>167</v>
      </c>
      <c r="G177">
        <v>1.4999999999999999E-2</v>
      </c>
      <c r="H177" t="s">
        <v>11</v>
      </c>
    </row>
    <row r="178" spans="1:8" x14ac:dyDescent="0.25">
      <c r="A178" t="str">
        <f t="shared" si="2"/>
        <v>31-Jul-18</v>
      </c>
      <c r="B178" t="s">
        <v>7</v>
      </c>
      <c r="C178" t="s">
        <v>8</v>
      </c>
      <c r="D178" t="str">
        <f>"B11TCY0"</f>
        <v>B11TCY0</v>
      </c>
      <c r="E178" t="s">
        <v>189</v>
      </c>
      <c r="F178" t="s">
        <v>167</v>
      </c>
      <c r="G178">
        <v>1.7999999999999999E-2</v>
      </c>
      <c r="H178" t="s">
        <v>11</v>
      </c>
    </row>
    <row r="179" spans="1:8" x14ac:dyDescent="0.25">
      <c r="A179" t="str">
        <f t="shared" si="2"/>
        <v>31-Jul-18</v>
      </c>
      <c r="B179" t="s">
        <v>7</v>
      </c>
      <c r="C179" t="s">
        <v>8</v>
      </c>
      <c r="D179" t="str">
        <f>"BF2DSG3"</f>
        <v>BF2DSG3</v>
      </c>
      <c r="E179" t="s">
        <v>190</v>
      </c>
      <c r="F179" t="s">
        <v>167</v>
      </c>
      <c r="G179">
        <v>4.1000000000000002E-2</v>
      </c>
      <c r="H179" t="s">
        <v>11</v>
      </c>
    </row>
    <row r="180" spans="1:8" x14ac:dyDescent="0.25">
      <c r="A180" t="str">
        <f t="shared" si="2"/>
        <v>31-Jul-18</v>
      </c>
      <c r="B180" t="s">
        <v>7</v>
      </c>
      <c r="C180" t="s">
        <v>8</v>
      </c>
      <c r="D180" t="str">
        <f>"7156036"</f>
        <v>7156036</v>
      </c>
      <c r="E180" t="s">
        <v>191</v>
      </c>
      <c r="F180" t="s">
        <v>167</v>
      </c>
      <c r="G180">
        <v>1.9E-2</v>
      </c>
      <c r="H180" t="s">
        <v>11</v>
      </c>
    </row>
    <row r="181" spans="1:8" x14ac:dyDescent="0.25">
      <c r="A181" t="str">
        <f t="shared" si="2"/>
        <v>31-Jul-18</v>
      </c>
      <c r="B181" t="s">
        <v>7</v>
      </c>
      <c r="C181" t="s">
        <v>8</v>
      </c>
      <c r="D181" t="str">
        <f>"7156832"</f>
        <v>7156832</v>
      </c>
      <c r="E181" t="s">
        <v>192</v>
      </c>
      <c r="F181" t="s">
        <v>167</v>
      </c>
      <c r="G181">
        <v>1.6E-2</v>
      </c>
      <c r="H181" t="s">
        <v>11</v>
      </c>
    </row>
    <row r="182" spans="1:8" x14ac:dyDescent="0.25">
      <c r="A182" t="str">
        <f t="shared" si="2"/>
        <v>31-Jul-18</v>
      </c>
      <c r="B182" t="s">
        <v>7</v>
      </c>
      <c r="C182" t="s">
        <v>8</v>
      </c>
      <c r="D182" t="str">
        <f>"7184736"</f>
        <v>7184736</v>
      </c>
      <c r="E182" t="s">
        <v>193</v>
      </c>
      <c r="F182" t="s">
        <v>167</v>
      </c>
      <c r="G182">
        <v>1.0999999999999999E-2</v>
      </c>
      <c r="H182" t="s">
        <v>11</v>
      </c>
    </row>
    <row r="183" spans="1:8" x14ac:dyDescent="0.25">
      <c r="A183" t="str">
        <f t="shared" si="2"/>
        <v>31-Jul-18</v>
      </c>
      <c r="B183" t="s">
        <v>7</v>
      </c>
      <c r="C183" t="s">
        <v>8</v>
      </c>
      <c r="D183" t="str">
        <f>"7184725"</f>
        <v>7184725</v>
      </c>
      <c r="E183" t="s">
        <v>194</v>
      </c>
      <c r="F183" t="s">
        <v>167</v>
      </c>
      <c r="G183">
        <v>2.7E-2</v>
      </c>
      <c r="H183" t="s">
        <v>11</v>
      </c>
    </row>
    <row r="184" spans="1:8" x14ac:dyDescent="0.25">
      <c r="A184" t="str">
        <f t="shared" si="2"/>
        <v>31-Jul-18</v>
      </c>
      <c r="B184" t="s">
        <v>7</v>
      </c>
      <c r="C184" t="s">
        <v>8</v>
      </c>
      <c r="D184" t="str">
        <f>"7437805"</f>
        <v>7437805</v>
      </c>
      <c r="E184" t="s">
        <v>195</v>
      </c>
      <c r="F184" t="s">
        <v>167</v>
      </c>
      <c r="G184">
        <v>1.6E-2</v>
      </c>
      <c r="H184" t="s">
        <v>11</v>
      </c>
    </row>
    <row r="185" spans="1:8" x14ac:dyDescent="0.25">
      <c r="A185" t="str">
        <f t="shared" si="2"/>
        <v>31-Jul-18</v>
      </c>
      <c r="B185" t="s">
        <v>7</v>
      </c>
      <c r="C185" t="s">
        <v>8</v>
      </c>
      <c r="D185" t="str">
        <f>"B083BH4"</f>
        <v>B083BH4</v>
      </c>
      <c r="E185" t="s">
        <v>196</v>
      </c>
      <c r="F185" t="s">
        <v>167</v>
      </c>
      <c r="G185">
        <v>1.7000000000000001E-2</v>
      </c>
      <c r="H185" t="s">
        <v>11</v>
      </c>
    </row>
    <row r="186" spans="1:8" x14ac:dyDescent="0.25">
      <c r="A186" t="str">
        <f t="shared" si="2"/>
        <v>31-Jul-18</v>
      </c>
      <c r="B186" t="s">
        <v>7</v>
      </c>
      <c r="C186" t="s">
        <v>8</v>
      </c>
      <c r="D186" t="str">
        <f>"B545MG5"</f>
        <v>B545MG5</v>
      </c>
      <c r="E186" t="s">
        <v>197</v>
      </c>
      <c r="F186" t="s">
        <v>167</v>
      </c>
      <c r="G186">
        <v>0.11600000000000001</v>
      </c>
      <c r="H186" t="s">
        <v>11</v>
      </c>
    </row>
    <row r="187" spans="1:8" x14ac:dyDescent="0.25">
      <c r="A187" t="str">
        <f t="shared" si="2"/>
        <v>31-Jul-18</v>
      </c>
      <c r="B187" t="s">
        <v>7</v>
      </c>
      <c r="C187" t="s">
        <v>8</v>
      </c>
      <c r="D187" t="str">
        <f>"5533976"</f>
        <v>5533976</v>
      </c>
      <c r="E187" t="s">
        <v>198</v>
      </c>
      <c r="F187" t="s">
        <v>167</v>
      </c>
      <c r="G187">
        <v>5.2999999999999999E-2</v>
      </c>
      <c r="H187" t="s">
        <v>11</v>
      </c>
    </row>
    <row r="188" spans="1:8" x14ac:dyDescent="0.25">
      <c r="A188" t="str">
        <f t="shared" si="2"/>
        <v>31-Jul-18</v>
      </c>
      <c r="B188" t="s">
        <v>7</v>
      </c>
      <c r="C188" t="s">
        <v>8</v>
      </c>
      <c r="D188" t="str">
        <f>"7147892"</f>
        <v>7147892</v>
      </c>
      <c r="E188" t="s">
        <v>199</v>
      </c>
      <c r="F188" t="s">
        <v>167</v>
      </c>
      <c r="G188">
        <v>1.2E-2</v>
      </c>
      <c r="H188" t="s">
        <v>11</v>
      </c>
    </row>
    <row r="189" spans="1:8" x14ac:dyDescent="0.25">
      <c r="A189" t="str">
        <f t="shared" si="2"/>
        <v>31-Jul-18</v>
      </c>
      <c r="B189" t="s">
        <v>7</v>
      </c>
      <c r="C189" t="s">
        <v>8</v>
      </c>
      <c r="D189" t="str">
        <f>"BRJL176"</f>
        <v>BRJL176</v>
      </c>
      <c r="E189" t="s">
        <v>200</v>
      </c>
      <c r="F189" t="s">
        <v>167</v>
      </c>
      <c r="G189">
        <v>0.158</v>
      </c>
      <c r="H189" t="s">
        <v>11</v>
      </c>
    </row>
    <row r="190" spans="1:8" x14ac:dyDescent="0.25">
      <c r="A190" t="str">
        <f t="shared" si="2"/>
        <v>31-Jul-18</v>
      </c>
      <c r="B190" t="s">
        <v>7</v>
      </c>
      <c r="C190" t="s">
        <v>8</v>
      </c>
      <c r="D190" t="str">
        <f>"BZ12TW4"</f>
        <v>BZ12TW4</v>
      </c>
      <c r="E190" t="s">
        <v>201</v>
      </c>
      <c r="F190" t="s">
        <v>167</v>
      </c>
      <c r="G190">
        <v>3.1E-2</v>
      </c>
      <c r="H190" t="s">
        <v>11</v>
      </c>
    </row>
    <row r="191" spans="1:8" x14ac:dyDescent="0.25">
      <c r="A191" t="str">
        <f t="shared" si="2"/>
        <v>31-Jul-18</v>
      </c>
      <c r="B191" t="s">
        <v>7</v>
      </c>
      <c r="C191" t="s">
        <v>8</v>
      </c>
      <c r="D191" t="str">
        <f>"5983816"</f>
        <v>5983816</v>
      </c>
      <c r="E191" t="s">
        <v>202</v>
      </c>
      <c r="F191" t="s">
        <v>167</v>
      </c>
      <c r="G191">
        <v>0.187</v>
      </c>
      <c r="H191" t="s">
        <v>11</v>
      </c>
    </row>
    <row r="192" spans="1:8" x14ac:dyDescent="0.25">
      <c r="A192" t="str">
        <f t="shared" si="2"/>
        <v>31-Jul-18</v>
      </c>
      <c r="B192" t="s">
        <v>7</v>
      </c>
      <c r="C192" t="s">
        <v>75</v>
      </c>
      <c r="F192" t="s">
        <v>167</v>
      </c>
      <c r="G192">
        <v>1E-3</v>
      </c>
      <c r="H192" t="s">
        <v>203</v>
      </c>
    </row>
    <row r="193" spans="1:8" x14ac:dyDescent="0.25">
      <c r="A193" t="str">
        <f t="shared" si="2"/>
        <v>31-Jul-18</v>
      </c>
      <c r="B193" t="s">
        <v>7</v>
      </c>
      <c r="C193" t="s">
        <v>8</v>
      </c>
      <c r="D193" t="str">
        <f>"4253048"</f>
        <v>4253048</v>
      </c>
      <c r="E193" t="s">
        <v>204</v>
      </c>
      <c r="F193" t="s">
        <v>205</v>
      </c>
      <c r="G193">
        <v>2.1999999999999999E-2</v>
      </c>
      <c r="H193" t="s">
        <v>11</v>
      </c>
    </row>
    <row r="194" spans="1:8" x14ac:dyDescent="0.25">
      <c r="A194" t="str">
        <f t="shared" ref="A194:A257" si="3">"31-Jul-18"</f>
        <v>31-Jul-18</v>
      </c>
      <c r="B194" t="s">
        <v>7</v>
      </c>
      <c r="C194" t="s">
        <v>8</v>
      </c>
      <c r="D194" t="str">
        <f>"4169219"</f>
        <v>4169219</v>
      </c>
      <c r="E194" t="s">
        <v>206</v>
      </c>
      <c r="F194" t="s">
        <v>205</v>
      </c>
      <c r="G194">
        <v>0.05</v>
      </c>
      <c r="H194" t="s">
        <v>11</v>
      </c>
    </row>
    <row r="195" spans="1:8" x14ac:dyDescent="0.25">
      <c r="A195" t="str">
        <f t="shared" si="3"/>
        <v>31-Jul-18</v>
      </c>
      <c r="B195" t="s">
        <v>7</v>
      </c>
      <c r="C195" t="s">
        <v>8</v>
      </c>
      <c r="D195" t="str">
        <f>"B573M11"</f>
        <v>B573M11</v>
      </c>
      <c r="E195" t="s">
        <v>207</v>
      </c>
      <c r="F195" t="s">
        <v>205</v>
      </c>
      <c r="G195">
        <v>0.04</v>
      </c>
      <c r="H195" t="s">
        <v>11</v>
      </c>
    </row>
    <row r="196" spans="1:8" x14ac:dyDescent="0.25">
      <c r="A196" t="str">
        <f t="shared" si="3"/>
        <v>31-Jul-18</v>
      </c>
      <c r="B196" t="s">
        <v>7</v>
      </c>
      <c r="C196" t="s">
        <v>8</v>
      </c>
      <c r="D196" t="str">
        <f>"B8FMRX8"</f>
        <v>B8FMRX8</v>
      </c>
      <c r="E196" t="s">
        <v>208</v>
      </c>
      <c r="F196" t="s">
        <v>205</v>
      </c>
      <c r="G196">
        <v>5.7000000000000002E-2</v>
      </c>
      <c r="H196" t="s">
        <v>11</v>
      </c>
    </row>
    <row r="197" spans="1:8" x14ac:dyDescent="0.25">
      <c r="A197" t="str">
        <f t="shared" si="3"/>
        <v>31-Jul-18</v>
      </c>
      <c r="B197" t="s">
        <v>7</v>
      </c>
      <c r="C197" t="s">
        <v>8</v>
      </c>
      <c r="D197" t="str">
        <f>"B1WT5G2"</f>
        <v>B1WT5G2</v>
      </c>
      <c r="E197" t="s">
        <v>209</v>
      </c>
      <c r="F197" t="s">
        <v>205</v>
      </c>
      <c r="G197">
        <v>3.3000000000000002E-2</v>
      </c>
      <c r="H197" t="s">
        <v>11</v>
      </c>
    </row>
    <row r="198" spans="1:8" x14ac:dyDescent="0.25">
      <c r="A198" t="str">
        <f t="shared" si="3"/>
        <v>31-Jul-18</v>
      </c>
      <c r="B198" t="s">
        <v>7</v>
      </c>
      <c r="C198" t="s">
        <v>8</v>
      </c>
      <c r="D198" t="str">
        <f>"4588825"</f>
        <v>4588825</v>
      </c>
      <c r="E198" t="s">
        <v>210</v>
      </c>
      <c r="F198" t="s">
        <v>205</v>
      </c>
      <c r="G198">
        <v>4.4999999999999998E-2</v>
      </c>
      <c r="H198" t="s">
        <v>11</v>
      </c>
    </row>
    <row r="199" spans="1:8" x14ac:dyDescent="0.25">
      <c r="A199" t="str">
        <f t="shared" si="3"/>
        <v>31-Jul-18</v>
      </c>
      <c r="B199" t="s">
        <v>7</v>
      </c>
      <c r="C199" t="s">
        <v>8</v>
      </c>
      <c r="D199" t="str">
        <f>"4595739"</f>
        <v>4595739</v>
      </c>
      <c r="E199" t="s">
        <v>211</v>
      </c>
      <c r="F199" t="s">
        <v>205</v>
      </c>
      <c r="G199">
        <v>2.3E-2</v>
      </c>
      <c r="H199" t="s">
        <v>11</v>
      </c>
    </row>
    <row r="200" spans="1:8" x14ac:dyDescent="0.25">
      <c r="A200" t="str">
        <f t="shared" si="3"/>
        <v>31-Jul-18</v>
      </c>
      <c r="B200" t="s">
        <v>7</v>
      </c>
      <c r="C200" t="s">
        <v>8</v>
      </c>
      <c r="D200" t="str">
        <f>"7085259"</f>
        <v>7085259</v>
      </c>
      <c r="E200" t="s">
        <v>212</v>
      </c>
      <c r="F200" t="s">
        <v>205</v>
      </c>
      <c r="G200">
        <v>1.9E-2</v>
      </c>
      <c r="H200" t="s">
        <v>11</v>
      </c>
    </row>
    <row r="201" spans="1:8" x14ac:dyDescent="0.25">
      <c r="A201" t="str">
        <f t="shared" si="3"/>
        <v>31-Jul-18</v>
      </c>
      <c r="B201" t="s">
        <v>7</v>
      </c>
      <c r="C201" t="s">
        <v>8</v>
      </c>
      <c r="D201" t="str">
        <f>"BKJ9RT5"</f>
        <v>BKJ9RT5</v>
      </c>
      <c r="E201" t="s">
        <v>213</v>
      </c>
      <c r="F201" t="s">
        <v>205</v>
      </c>
      <c r="G201">
        <v>2.8000000000000001E-2</v>
      </c>
      <c r="H201" t="s">
        <v>11</v>
      </c>
    </row>
    <row r="202" spans="1:8" x14ac:dyDescent="0.25">
      <c r="A202" t="str">
        <f t="shared" si="3"/>
        <v>31-Jul-18</v>
      </c>
      <c r="B202" t="s">
        <v>7</v>
      </c>
      <c r="C202" t="s">
        <v>8</v>
      </c>
      <c r="D202" t="str">
        <f>"BHC8X90"</f>
        <v>BHC8X90</v>
      </c>
      <c r="E202" t="s">
        <v>214</v>
      </c>
      <c r="F202" t="s">
        <v>205</v>
      </c>
      <c r="G202">
        <v>0.38100000000000001</v>
      </c>
      <c r="H202" t="s">
        <v>11</v>
      </c>
    </row>
    <row r="203" spans="1:8" x14ac:dyDescent="0.25">
      <c r="A203" t="str">
        <f t="shared" si="3"/>
        <v>31-Jul-18</v>
      </c>
      <c r="B203" t="s">
        <v>7</v>
      </c>
      <c r="C203" t="s">
        <v>8</v>
      </c>
      <c r="D203" t="str">
        <f>"B798FW0"</f>
        <v>B798FW0</v>
      </c>
      <c r="E203" t="s">
        <v>215</v>
      </c>
      <c r="F203" t="s">
        <v>205</v>
      </c>
      <c r="G203">
        <v>4.5999999999999999E-2</v>
      </c>
      <c r="H203" t="s">
        <v>11</v>
      </c>
    </row>
    <row r="204" spans="1:8" x14ac:dyDescent="0.25">
      <c r="A204" t="str">
        <f t="shared" si="3"/>
        <v>31-Jul-18</v>
      </c>
      <c r="B204" t="s">
        <v>7</v>
      </c>
      <c r="C204" t="s">
        <v>8</v>
      </c>
      <c r="D204" t="str">
        <f>"BYT16L4"</f>
        <v>BYT16L4</v>
      </c>
      <c r="E204" t="s">
        <v>216</v>
      </c>
      <c r="F204" t="s">
        <v>205</v>
      </c>
      <c r="G204">
        <v>4.5999999999999999E-2</v>
      </c>
      <c r="H204" t="s">
        <v>11</v>
      </c>
    </row>
    <row r="205" spans="1:8" x14ac:dyDescent="0.25">
      <c r="A205" t="str">
        <f t="shared" si="3"/>
        <v>31-Jul-18</v>
      </c>
      <c r="B205" t="s">
        <v>7</v>
      </c>
      <c r="C205" t="s">
        <v>8</v>
      </c>
      <c r="D205" t="str">
        <f>"B44XTX8"</f>
        <v>B44XTX8</v>
      </c>
      <c r="E205" t="s">
        <v>217</v>
      </c>
      <c r="F205" t="s">
        <v>205</v>
      </c>
      <c r="G205">
        <v>0.03</v>
      </c>
      <c r="H205" t="s">
        <v>11</v>
      </c>
    </row>
    <row r="206" spans="1:8" x14ac:dyDescent="0.25">
      <c r="A206" t="str">
        <f t="shared" si="3"/>
        <v>31-Jul-18</v>
      </c>
      <c r="B206" t="s">
        <v>7</v>
      </c>
      <c r="C206" t="s">
        <v>8</v>
      </c>
      <c r="D206" t="str">
        <f>"BXDZ972"</f>
        <v>BXDZ972</v>
      </c>
      <c r="E206" t="s">
        <v>218</v>
      </c>
      <c r="F206" t="s">
        <v>205</v>
      </c>
      <c r="G206">
        <v>0.01</v>
      </c>
      <c r="H206" t="s">
        <v>11</v>
      </c>
    </row>
    <row r="207" spans="1:8" x14ac:dyDescent="0.25">
      <c r="A207" t="str">
        <f t="shared" si="3"/>
        <v>31-Jul-18</v>
      </c>
      <c r="B207" t="s">
        <v>7</v>
      </c>
      <c r="C207" t="s">
        <v>8</v>
      </c>
      <c r="D207" t="str">
        <f>"5964651"</f>
        <v>5964651</v>
      </c>
      <c r="E207" t="s">
        <v>219</v>
      </c>
      <c r="F207" t="s">
        <v>205</v>
      </c>
      <c r="G207">
        <v>5.8000000000000003E-2</v>
      </c>
      <c r="H207" t="s">
        <v>11</v>
      </c>
    </row>
    <row r="208" spans="1:8" x14ac:dyDescent="0.25">
      <c r="A208" t="str">
        <f t="shared" si="3"/>
        <v>31-Jul-18</v>
      </c>
      <c r="B208" t="s">
        <v>7</v>
      </c>
      <c r="C208" t="s">
        <v>8</v>
      </c>
      <c r="D208" t="str">
        <f>"BZ01RF1"</f>
        <v>BZ01RF1</v>
      </c>
      <c r="E208" t="s">
        <v>220</v>
      </c>
      <c r="F208" t="s">
        <v>205</v>
      </c>
      <c r="G208">
        <v>7.0000000000000001E-3</v>
      </c>
      <c r="H208" t="s">
        <v>11</v>
      </c>
    </row>
    <row r="209" spans="1:8" x14ac:dyDescent="0.25">
      <c r="A209" t="str">
        <f t="shared" si="3"/>
        <v>31-Jul-18</v>
      </c>
      <c r="B209" t="s">
        <v>7</v>
      </c>
      <c r="C209" t="s">
        <v>75</v>
      </c>
      <c r="F209" t="s">
        <v>205</v>
      </c>
      <c r="G209">
        <v>0</v>
      </c>
      <c r="H209" t="s">
        <v>221</v>
      </c>
    </row>
    <row r="210" spans="1:8" x14ac:dyDescent="0.25">
      <c r="A210" t="str">
        <f t="shared" si="3"/>
        <v>31-Jul-18</v>
      </c>
      <c r="B210" t="s">
        <v>7</v>
      </c>
      <c r="C210" t="s">
        <v>8</v>
      </c>
      <c r="D210" t="str">
        <f>"5734672"</f>
        <v>5734672</v>
      </c>
      <c r="E210" t="s">
        <v>222</v>
      </c>
      <c r="F210" t="s">
        <v>223</v>
      </c>
      <c r="G210">
        <v>4.0000000000000001E-3</v>
      </c>
      <c r="H210" t="s">
        <v>11</v>
      </c>
    </row>
    <row r="211" spans="1:8" x14ac:dyDescent="0.25">
      <c r="A211" t="str">
        <f t="shared" si="3"/>
        <v>31-Jul-18</v>
      </c>
      <c r="B211" t="s">
        <v>7</v>
      </c>
      <c r="C211" t="s">
        <v>8</v>
      </c>
      <c r="D211" t="str">
        <f>"BYQP136"</f>
        <v>BYQP136</v>
      </c>
      <c r="E211" t="s">
        <v>224</v>
      </c>
      <c r="F211" t="s">
        <v>223</v>
      </c>
      <c r="G211">
        <v>1.7999999999999999E-2</v>
      </c>
      <c r="H211" t="s">
        <v>11</v>
      </c>
    </row>
    <row r="212" spans="1:8" x14ac:dyDescent="0.25">
      <c r="A212" t="str">
        <f t="shared" si="3"/>
        <v>31-Jul-18</v>
      </c>
      <c r="B212" t="s">
        <v>7</v>
      </c>
      <c r="C212" t="s">
        <v>8</v>
      </c>
      <c r="D212" t="str">
        <f>"B01FLQ6"</f>
        <v>B01FLQ6</v>
      </c>
      <c r="E212" t="s">
        <v>225</v>
      </c>
      <c r="F212" t="s">
        <v>223</v>
      </c>
      <c r="G212">
        <v>0.03</v>
      </c>
      <c r="H212" t="s">
        <v>11</v>
      </c>
    </row>
    <row r="213" spans="1:8" x14ac:dyDescent="0.25">
      <c r="A213" t="str">
        <f t="shared" si="3"/>
        <v>31-Jul-18</v>
      </c>
      <c r="B213" t="s">
        <v>7</v>
      </c>
      <c r="C213" t="s">
        <v>8</v>
      </c>
      <c r="D213" t="str">
        <f>"B1WVF68"</f>
        <v>B1WVF68</v>
      </c>
      <c r="E213" t="s">
        <v>226</v>
      </c>
      <c r="F213" t="s">
        <v>223</v>
      </c>
      <c r="G213">
        <v>8.9999999999999993E-3</v>
      </c>
      <c r="H213" t="s">
        <v>11</v>
      </c>
    </row>
    <row r="214" spans="1:8" x14ac:dyDescent="0.25">
      <c r="A214" t="str">
        <f t="shared" si="3"/>
        <v>31-Jul-18</v>
      </c>
      <c r="B214" t="s">
        <v>7</v>
      </c>
      <c r="C214" t="s">
        <v>8</v>
      </c>
      <c r="D214" t="str">
        <f>"B929F46"</f>
        <v>B929F46</v>
      </c>
      <c r="E214" t="s">
        <v>227</v>
      </c>
      <c r="F214" t="s">
        <v>223</v>
      </c>
      <c r="G214">
        <v>0.29199999999999998</v>
      </c>
      <c r="H214" t="s">
        <v>11</v>
      </c>
    </row>
    <row r="215" spans="1:8" x14ac:dyDescent="0.25">
      <c r="A215" t="str">
        <f t="shared" si="3"/>
        <v>31-Jul-18</v>
      </c>
      <c r="B215" t="s">
        <v>7</v>
      </c>
      <c r="C215" t="s">
        <v>8</v>
      </c>
      <c r="D215" t="str">
        <f>"7088429"</f>
        <v>7088429</v>
      </c>
      <c r="E215" t="s">
        <v>228</v>
      </c>
      <c r="F215" t="s">
        <v>223</v>
      </c>
      <c r="G215">
        <v>0.2</v>
      </c>
      <c r="H215" t="s">
        <v>11</v>
      </c>
    </row>
    <row r="216" spans="1:8" x14ac:dyDescent="0.25">
      <c r="A216" t="str">
        <f t="shared" si="3"/>
        <v>31-Jul-18</v>
      </c>
      <c r="B216" t="s">
        <v>7</v>
      </c>
      <c r="C216" t="s">
        <v>8</v>
      </c>
      <c r="D216" t="str">
        <f>"5852842"</f>
        <v>5852842</v>
      </c>
      <c r="E216" t="s">
        <v>229</v>
      </c>
      <c r="F216" t="s">
        <v>223</v>
      </c>
      <c r="G216">
        <v>4.4999999999999998E-2</v>
      </c>
      <c r="H216" t="s">
        <v>11</v>
      </c>
    </row>
    <row r="217" spans="1:8" x14ac:dyDescent="0.25">
      <c r="A217" t="str">
        <f t="shared" si="3"/>
        <v>31-Jul-18</v>
      </c>
      <c r="B217" t="s">
        <v>7</v>
      </c>
      <c r="C217" t="s">
        <v>8</v>
      </c>
      <c r="D217" t="str">
        <f>"5927375"</f>
        <v>5927375</v>
      </c>
      <c r="E217" t="s">
        <v>230</v>
      </c>
      <c r="F217" t="s">
        <v>223</v>
      </c>
      <c r="G217">
        <v>4.5999999999999999E-2</v>
      </c>
      <c r="H217" t="s">
        <v>11</v>
      </c>
    </row>
    <row r="218" spans="1:8" x14ac:dyDescent="0.25">
      <c r="A218" t="str">
        <f t="shared" si="3"/>
        <v>31-Jul-18</v>
      </c>
      <c r="B218" t="s">
        <v>7</v>
      </c>
      <c r="C218" t="s">
        <v>8</v>
      </c>
      <c r="D218" t="str">
        <f>"BVRZ8L1"</f>
        <v>BVRZ8L1</v>
      </c>
      <c r="E218" t="s">
        <v>231</v>
      </c>
      <c r="F218" t="s">
        <v>223</v>
      </c>
      <c r="G218">
        <v>2.8000000000000001E-2</v>
      </c>
      <c r="H218" t="s">
        <v>11</v>
      </c>
    </row>
    <row r="219" spans="1:8" x14ac:dyDescent="0.25">
      <c r="A219" t="str">
        <f t="shared" si="3"/>
        <v>31-Jul-18</v>
      </c>
      <c r="B219" t="s">
        <v>7</v>
      </c>
      <c r="C219" t="s">
        <v>8</v>
      </c>
      <c r="D219" t="str">
        <f>"B164FY1"</f>
        <v>B164FY1</v>
      </c>
      <c r="E219" t="s">
        <v>232</v>
      </c>
      <c r="F219" t="s">
        <v>223</v>
      </c>
      <c r="G219">
        <v>2.7E-2</v>
      </c>
      <c r="H219" t="s">
        <v>11</v>
      </c>
    </row>
    <row r="220" spans="1:8" x14ac:dyDescent="0.25">
      <c r="A220" t="str">
        <f t="shared" si="3"/>
        <v>31-Jul-18</v>
      </c>
      <c r="B220" t="s">
        <v>7</v>
      </c>
      <c r="C220" t="s">
        <v>8</v>
      </c>
      <c r="D220" t="str">
        <f>"B86S2N0"</f>
        <v>B86S2N0</v>
      </c>
      <c r="E220" t="s">
        <v>233</v>
      </c>
      <c r="F220" t="s">
        <v>223</v>
      </c>
      <c r="G220">
        <v>1.0999999999999999E-2</v>
      </c>
      <c r="H220" t="s">
        <v>11</v>
      </c>
    </row>
    <row r="221" spans="1:8" x14ac:dyDescent="0.25">
      <c r="A221" t="str">
        <f t="shared" si="3"/>
        <v>31-Jul-18</v>
      </c>
      <c r="B221" t="s">
        <v>7</v>
      </c>
      <c r="C221" t="s">
        <v>8</v>
      </c>
      <c r="D221" t="str">
        <f>"B1YXBJ7"</f>
        <v>B1YXBJ7</v>
      </c>
      <c r="E221" t="s">
        <v>234</v>
      </c>
      <c r="F221" t="s">
        <v>223</v>
      </c>
      <c r="G221">
        <v>9.1999999999999998E-2</v>
      </c>
      <c r="H221" t="s">
        <v>11</v>
      </c>
    </row>
    <row r="222" spans="1:8" x14ac:dyDescent="0.25">
      <c r="A222" t="str">
        <f t="shared" si="3"/>
        <v>31-Jul-18</v>
      </c>
      <c r="B222" t="s">
        <v>7</v>
      </c>
      <c r="C222" t="s">
        <v>8</v>
      </c>
      <c r="D222" t="str">
        <f>"5458314"</f>
        <v>5458314</v>
      </c>
      <c r="E222" t="s">
        <v>235</v>
      </c>
      <c r="F222" t="s">
        <v>223</v>
      </c>
      <c r="G222">
        <v>0.10299999999999999</v>
      </c>
      <c r="H222" t="s">
        <v>11</v>
      </c>
    </row>
    <row r="223" spans="1:8" x14ac:dyDescent="0.25">
      <c r="A223" t="str">
        <f t="shared" si="3"/>
        <v>31-Jul-18</v>
      </c>
      <c r="B223" t="s">
        <v>7</v>
      </c>
      <c r="C223" t="s">
        <v>8</v>
      </c>
      <c r="D223" t="str">
        <f>"5231485"</f>
        <v>5231485</v>
      </c>
      <c r="E223" t="s">
        <v>236</v>
      </c>
      <c r="F223" t="s">
        <v>223</v>
      </c>
      <c r="G223">
        <v>0.39600000000000002</v>
      </c>
      <c r="H223" t="s">
        <v>11</v>
      </c>
    </row>
    <row r="224" spans="1:8" x14ac:dyDescent="0.25">
      <c r="A224" t="str">
        <f t="shared" si="3"/>
        <v>31-Jul-18</v>
      </c>
      <c r="B224" t="s">
        <v>7</v>
      </c>
      <c r="C224" t="s">
        <v>8</v>
      </c>
      <c r="D224" t="str">
        <f>"B0DJ8Q5"</f>
        <v>B0DJ8Q5</v>
      </c>
      <c r="E224" t="s">
        <v>237</v>
      </c>
      <c r="F224" t="s">
        <v>223</v>
      </c>
      <c r="G224">
        <v>2.9000000000000001E-2</v>
      </c>
      <c r="H224" t="s">
        <v>11</v>
      </c>
    </row>
    <row r="225" spans="1:8" x14ac:dyDescent="0.25">
      <c r="A225" t="str">
        <f t="shared" si="3"/>
        <v>31-Jul-18</v>
      </c>
      <c r="B225" t="s">
        <v>7</v>
      </c>
      <c r="C225" t="s">
        <v>8</v>
      </c>
      <c r="D225" t="str">
        <f>"B3MSM28"</f>
        <v>B3MSM28</v>
      </c>
      <c r="E225" t="s">
        <v>238</v>
      </c>
      <c r="F225" t="s">
        <v>223</v>
      </c>
      <c r="G225">
        <v>0.156</v>
      </c>
      <c r="H225" t="s">
        <v>11</v>
      </c>
    </row>
    <row r="226" spans="1:8" x14ac:dyDescent="0.25">
      <c r="A226" t="str">
        <f t="shared" si="3"/>
        <v>31-Jul-18</v>
      </c>
      <c r="B226" t="s">
        <v>7</v>
      </c>
      <c r="C226" t="s">
        <v>8</v>
      </c>
      <c r="D226" t="str">
        <f>"BYZR014"</f>
        <v>BYZR014</v>
      </c>
      <c r="E226" t="s">
        <v>239</v>
      </c>
      <c r="F226" t="s">
        <v>223</v>
      </c>
      <c r="G226">
        <v>8.9999999999999993E-3</v>
      </c>
      <c r="H226" t="s">
        <v>11</v>
      </c>
    </row>
    <row r="227" spans="1:8" x14ac:dyDescent="0.25">
      <c r="A227" t="str">
        <f t="shared" si="3"/>
        <v>31-Jul-18</v>
      </c>
      <c r="B227" t="s">
        <v>7</v>
      </c>
      <c r="C227" t="s">
        <v>8</v>
      </c>
      <c r="D227" t="str">
        <f>"BYYHL23"</f>
        <v>BYYHL23</v>
      </c>
      <c r="E227" t="s">
        <v>240</v>
      </c>
      <c r="F227" t="s">
        <v>223</v>
      </c>
      <c r="G227">
        <v>0.318</v>
      </c>
      <c r="H227" t="s">
        <v>11</v>
      </c>
    </row>
    <row r="228" spans="1:8" x14ac:dyDescent="0.25">
      <c r="A228" t="str">
        <f t="shared" si="3"/>
        <v>31-Jul-18</v>
      </c>
      <c r="B228" t="s">
        <v>7</v>
      </c>
      <c r="C228" t="s">
        <v>8</v>
      </c>
      <c r="D228" t="str">
        <f>"BYPBS67"</f>
        <v>BYPBS67</v>
      </c>
      <c r="E228" t="s">
        <v>241</v>
      </c>
      <c r="F228" t="s">
        <v>223</v>
      </c>
      <c r="G228">
        <v>2.1999999999999999E-2</v>
      </c>
      <c r="H228" t="s">
        <v>11</v>
      </c>
    </row>
    <row r="229" spans="1:8" x14ac:dyDescent="0.25">
      <c r="A229" t="str">
        <f t="shared" si="3"/>
        <v>31-Jul-18</v>
      </c>
      <c r="B229" t="s">
        <v>7</v>
      </c>
      <c r="C229" t="s">
        <v>8</v>
      </c>
      <c r="D229" t="str">
        <f>"B0Z5YZ2"</f>
        <v>B0Z5YZ2</v>
      </c>
      <c r="E229" t="s">
        <v>242</v>
      </c>
      <c r="F229" t="s">
        <v>223</v>
      </c>
      <c r="G229">
        <v>2.1999999999999999E-2</v>
      </c>
      <c r="H229" t="s">
        <v>11</v>
      </c>
    </row>
    <row r="230" spans="1:8" x14ac:dyDescent="0.25">
      <c r="A230" t="str">
        <f t="shared" si="3"/>
        <v>31-Jul-18</v>
      </c>
      <c r="B230" t="s">
        <v>7</v>
      </c>
      <c r="C230" t="s">
        <v>8</v>
      </c>
      <c r="D230" t="str">
        <f>"4056719"</f>
        <v>4056719</v>
      </c>
      <c r="E230" t="s">
        <v>243</v>
      </c>
      <c r="F230" t="s">
        <v>223</v>
      </c>
      <c r="G230">
        <v>8.4000000000000005E-2</v>
      </c>
      <c r="H230" t="s">
        <v>11</v>
      </c>
    </row>
    <row r="231" spans="1:8" x14ac:dyDescent="0.25">
      <c r="A231" t="str">
        <f t="shared" si="3"/>
        <v>31-Jul-18</v>
      </c>
      <c r="B231" t="s">
        <v>7</v>
      </c>
      <c r="C231" t="s">
        <v>8</v>
      </c>
      <c r="D231" t="str">
        <f>"7667163"</f>
        <v>7667163</v>
      </c>
      <c r="E231" t="s">
        <v>244</v>
      </c>
      <c r="F231" t="s">
        <v>223</v>
      </c>
      <c r="G231">
        <v>0.03</v>
      </c>
      <c r="H231" t="s">
        <v>11</v>
      </c>
    </row>
    <row r="232" spans="1:8" x14ac:dyDescent="0.25">
      <c r="A232" t="str">
        <f t="shared" si="3"/>
        <v>31-Jul-18</v>
      </c>
      <c r="B232" t="s">
        <v>7</v>
      </c>
      <c r="C232" t="s">
        <v>8</v>
      </c>
      <c r="D232" t="str">
        <f>"5654781"</f>
        <v>5654781</v>
      </c>
      <c r="E232" t="s">
        <v>245</v>
      </c>
      <c r="F232" t="s">
        <v>223</v>
      </c>
      <c r="G232">
        <v>5.5E-2</v>
      </c>
      <c r="H232" t="s">
        <v>11</v>
      </c>
    </row>
    <row r="233" spans="1:8" x14ac:dyDescent="0.25">
      <c r="A233" t="str">
        <f t="shared" si="3"/>
        <v>31-Jul-18</v>
      </c>
      <c r="B233" t="s">
        <v>7</v>
      </c>
      <c r="C233" t="s">
        <v>8</v>
      </c>
      <c r="D233" t="str">
        <f>"4647317"</f>
        <v>4647317</v>
      </c>
      <c r="E233" t="s">
        <v>246</v>
      </c>
      <c r="F233" t="s">
        <v>223</v>
      </c>
      <c r="G233">
        <v>7.0000000000000001E-3</v>
      </c>
      <c r="H233" t="s">
        <v>11</v>
      </c>
    </row>
    <row r="234" spans="1:8" x14ac:dyDescent="0.25">
      <c r="A234" t="str">
        <f t="shared" si="3"/>
        <v>31-Jul-18</v>
      </c>
      <c r="B234" t="s">
        <v>7</v>
      </c>
      <c r="C234" t="s">
        <v>8</v>
      </c>
      <c r="D234" t="str">
        <f>"5086577"</f>
        <v>5086577</v>
      </c>
      <c r="E234" t="s">
        <v>247</v>
      </c>
      <c r="F234" t="s">
        <v>223</v>
      </c>
      <c r="G234">
        <v>0.36499999999999999</v>
      </c>
      <c r="H234" t="s">
        <v>11</v>
      </c>
    </row>
    <row r="235" spans="1:8" x14ac:dyDescent="0.25">
      <c r="A235" t="str">
        <f t="shared" si="3"/>
        <v>31-Jul-18</v>
      </c>
      <c r="B235" t="s">
        <v>7</v>
      </c>
      <c r="C235" t="s">
        <v>8</v>
      </c>
      <c r="D235" t="str">
        <f>"7309681"</f>
        <v>7309681</v>
      </c>
      <c r="E235" t="s">
        <v>248</v>
      </c>
      <c r="F235" t="s">
        <v>223</v>
      </c>
      <c r="G235">
        <v>0.188</v>
      </c>
      <c r="H235" t="s">
        <v>11</v>
      </c>
    </row>
    <row r="236" spans="1:8" x14ac:dyDescent="0.25">
      <c r="A236" t="str">
        <f t="shared" si="3"/>
        <v>31-Jul-18</v>
      </c>
      <c r="B236" t="s">
        <v>7</v>
      </c>
      <c r="C236" t="s">
        <v>8</v>
      </c>
      <c r="D236" t="str">
        <f>"5501906"</f>
        <v>5501906</v>
      </c>
      <c r="E236" t="s">
        <v>249</v>
      </c>
      <c r="F236" t="s">
        <v>223</v>
      </c>
      <c r="G236">
        <v>0.19800000000000001</v>
      </c>
      <c r="H236" t="s">
        <v>11</v>
      </c>
    </row>
    <row r="237" spans="1:8" x14ac:dyDescent="0.25">
      <c r="A237" t="str">
        <f t="shared" si="3"/>
        <v>31-Jul-18</v>
      </c>
      <c r="B237" t="s">
        <v>7</v>
      </c>
      <c r="C237" t="s">
        <v>8</v>
      </c>
      <c r="D237" t="str">
        <f>"4058061"</f>
        <v>4058061</v>
      </c>
      <c r="E237" t="s">
        <v>250</v>
      </c>
      <c r="F237" t="s">
        <v>223</v>
      </c>
      <c r="G237">
        <v>0</v>
      </c>
      <c r="H237" t="s">
        <v>11</v>
      </c>
    </row>
    <row r="238" spans="1:8" x14ac:dyDescent="0.25">
      <c r="A238" t="str">
        <f t="shared" si="3"/>
        <v>31-Jul-18</v>
      </c>
      <c r="B238" t="s">
        <v>7</v>
      </c>
      <c r="C238" t="s">
        <v>8</v>
      </c>
      <c r="D238" t="str">
        <f>"5705946"</f>
        <v>5705946</v>
      </c>
      <c r="E238" t="s">
        <v>251</v>
      </c>
      <c r="F238" t="s">
        <v>223</v>
      </c>
      <c r="G238">
        <v>0.13900000000000001</v>
      </c>
      <c r="H238" t="s">
        <v>11</v>
      </c>
    </row>
    <row r="239" spans="1:8" x14ac:dyDescent="0.25">
      <c r="A239" t="str">
        <f t="shared" si="3"/>
        <v>31-Jul-18</v>
      </c>
      <c r="B239" t="s">
        <v>7</v>
      </c>
      <c r="C239" t="s">
        <v>8</v>
      </c>
      <c r="D239" t="str">
        <f>"B1X8QN2"</f>
        <v>B1X8QN2</v>
      </c>
      <c r="E239" t="s">
        <v>252</v>
      </c>
      <c r="F239" t="s">
        <v>223</v>
      </c>
      <c r="G239">
        <v>1.7000000000000001E-2</v>
      </c>
      <c r="H239" t="s">
        <v>11</v>
      </c>
    </row>
    <row r="240" spans="1:8" x14ac:dyDescent="0.25">
      <c r="A240" t="str">
        <f t="shared" si="3"/>
        <v>31-Jul-18</v>
      </c>
      <c r="B240" t="s">
        <v>7</v>
      </c>
      <c r="C240" t="s">
        <v>8</v>
      </c>
      <c r="D240" t="str">
        <f>"5069211"</f>
        <v>5069211</v>
      </c>
      <c r="E240" t="s">
        <v>253</v>
      </c>
      <c r="F240" t="s">
        <v>223</v>
      </c>
      <c r="G240">
        <v>0.20899999999999999</v>
      </c>
      <c r="H240" t="s">
        <v>11</v>
      </c>
    </row>
    <row r="241" spans="1:8" x14ac:dyDescent="0.25">
      <c r="A241" t="str">
        <f t="shared" si="3"/>
        <v>31-Jul-18</v>
      </c>
      <c r="B241" t="s">
        <v>7</v>
      </c>
      <c r="C241" t="s">
        <v>8</v>
      </c>
      <c r="D241" t="str">
        <f>"5756029"</f>
        <v>5756029</v>
      </c>
      <c r="E241" t="s">
        <v>254</v>
      </c>
      <c r="F241" t="s">
        <v>223</v>
      </c>
      <c r="G241">
        <v>0.05</v>
      </c>
      <c r="H241" t="s">
        <v>11</v>
      </c>
    </row>
    <row r="242" spans="1:8" x14ac:dyDescent="0.25">
      <c r="A242" t="str">
        <f t="shared" si="3"/>
        <v>31-Jul-18</v>
      </c>
      <c r="B242" t="s">
        <v>7</v>
      </c>
      <c r="C242" t="s">
        <v>8</v>
      </c>
      <c r="D242" t="str">
        <f>"5756030"</f>
        <v>5756030</v>
      </c>
      <c r="E242" t="s">
        <v>255</v>
      </c>
      <c r="F242" t="s">
        <v>223</v>
      </c>
      <c r="G242">
        <v>7.0000000000000001E-3</v>
      </c>
      <c r="H242" t="s">
        <v>11</v>
      </c>
    </row>
    <row r="243" spans="1:8" x14ac:dyDescent="0.25">
      <c r="A243" t="str">
        <f t="shared" si="3"/>
        <v>31-Jul-18</v>
      </c>
      <c r="B243" t="s">
        <v>7</v>
      </c>
      <c r="C243" t="s">
        <v>8</v>
      </c>
      <c r="D243" t="str">
        <f>"5107401"</f>
        <v>5107401</v>
      </c>
      <c r="E243" t="s">
        <v>256</v>
      </c>
      <c r="F243" t="s">
        <v>223</v>
      </c>
      <c r="G243">
        <v>3.4000000000000002E-2</v>
      </c>
      <c r="H243" t="s">
        <v>11</v>
      </c>
    </row>
    <row r="244" spans="1:8" x14ac:dyDescent="0.25">
      <c r="A244" t="str">
        <f t="shared" si="3"/>
        <v>31-Jul-18</v>
      </c>
      <c r="B244" t="s">
        <v>7</v>
      </c>
      <c r="C244" t="s">
        <v>8</v>
      </c>
      <c r="D244" t="str">
        <f>"BF0LBX7"</f>
        <v>BF0LBX7</v>
      </c>
      <c r="E244" t="s">
        <v>257</v>
      </c>
      <c r="F244" t="s">
        <v>223</v>
      </c>
      <c r="G244">
        <v>7.0000000000000001E-3</v>
      </c>
      <c r="H244" t="s">
        <v>11</v>
      </c>
    </row>
    <row r="245" spans="1:8" x14ac:dyDescent="0.25">
      <c r="A245" t="str">
        <f t="shared" si="3"/>
        <v>31-Jul-18</v>
      </c>
      <c r="B245" t="s">
        <v>7</v>
      </c>
      <c r="C245" t="s">
        <v>8</v>
      </c>
      <c r="D245" t="str">
        <f>"BD1RP61"</f>
        <v>BD1RP61</v>
      </c>
      <c r="E245" t="s">
        <v>258</v>
      </c>
      <c r="F245" t="s">
        <v>223</v>
      </c>
      <c r="G245">
        <v>1.4999999999999999E-2</v>
      </c>
      <c r="H245" t="s">
        <v>11</v>
      </c>
    </row>
    <row r="246" spans="1:8" x14ac:dyDescent="0.25">
      <c r="A246" t="str">
        <f t="shared" si="3"/>
        <v>31-Jul-18</v>
      </c>
      <c r="B246" t="s">
        <v>7</v>
      </c>
      <c r="C246" t="s">
        <v>8</v>
      </c>
      <c r="D246" t="str">
        <f>"BZ3C3Q4"</f>
        <v>BZ3C3Q4</v>
      </c>
      <c r="E246" t="s">
        <v>259</v>
      </c>
      <c r="F246" t="s">
        <v>223</v>
      </c>
      <c r="G246">
        <v>8.0000000000000002E-3</v>
      </c>
      <c r="H246" t="s">
        <v>11</v>
      </c>
    </row>
    <row r="247" spans="1:8" x14ac:dyDescent="0.25">
      <c r="A247" t="str">
        <f t="shared" si="3"/>
        <v>31-Jul-18</v>
      </c>
      <c r="B247" t="s">
        <v>7</v>
      </c>
      <c r="C247" t="s">
        <v>8</v>
      </c>
      <c r="D247" t="str">
        <f>"5474008"</f>
        <v>5474008</v>
      </c>
      <c r="E247" t="s">
        <v>260</v>
      </c>
      <c r="F247" t="s">
        <v>223</v>
      </c>
      <c r="G247">
        <v>8.9999999999999993E-3</v>
      </c>
      <c r="H247" t="s">
        <v>11</v>
      </c>
    </row>
    <row r="248" spans="1:8" x14ac:dyDescent="0.25">
      <c r="A248" t="str">
        <f t="shared" si="3"/>
        <v>31-Jul-18</v>
      </c>
      <c r="B248" t="s">
        <v>7</v>
      </c>
      <c r="C248" t="s">
        <v>8</v>
      </c>
      <c r="D248" t="str">
        <f>"4572709"</f>
        <v>4572709</v>
      </c>
      <c r="E248" t="s">
        <v>261</v>
      </c>
      <c r="F248" t="s">
        <v>223</v>
      </c>
      <c r="G248">
        <v>0.01</v>
      </c>
      <c r="H248" t="s">
        <v>11</v>
      </c>
    </row>
    <row r="249" spans="1:8" x14ac:dyDescent="0.25">
      <c r="A249" t="str">
        <f t="shared" si="3"/>
        <v>31-Jul-18</v>
      </c>
      <c r="B249" t="s">
        <v>7</v>
      </c>
      <c r="C249" t="s">
        <v>8</v>
      </c>
      <c r="D249" t="str">
        <f>"4002121"</f>
        <v>4002121</v>
      </c>
      <c r="E249" t="s">
        <v>262</v>
      </c>
      <c r="F249" t="s">
        <v>223</v>
      </c>
      <c r="G249">
        <v>4.7E-2</v>
      </c>
      <c r="H249" t="s">
        <v>11</v>
      </c>
    </row>
    <row r="250" spans="1:8" x14ac:dyDescent="0.25">
      <c r="A250" t="str">
        <f t="shared" si="3"/>
        <v>31-Jul-18</v>
      </c>
      <c r="B250" t="s">
        <v>7</v>
      </c>
      <c r="C250" t="s">
        <v>8</v>
      </c>
      <c r="D250" t="str">
        <f>"B4YVF56"</f>
        <v>B4YVF56</v>
      </c>
      <c r="E250" t="s">
        <v>263</v>
      </c>
      <c r="F250" t="s">
        <v>223</v>
      </c>
      <c r="G250">
        <v>4.2000000000000003E-2</v>
      </c>
      <c r="H250" t="s">
        <v>11</v>
      </c>
    </row>
    <row r="251" spans="1:8" x14ac:dyDescent="0.25">
      <c r="A251" t="str">
        <f t="shared" si="3"/>
        <v>31-Jul-18</v>
      </c>
      <c r="B251" t="s">
        <v>7</v>
      </c>
      <c r="C251" t="s">
        <v>8</v>
      </c>
      <c r="D251" t="str">
        <f>"B28DTJ6"</f>
        <v>B28DTJ6</v>
      </c>
      <c r="E251" t="s">
        <v>264</v>
      </c>
      <c r="F251" t="s">
        <v>223</v>
      </c>
      <c r="G251">
        <v>1.4999999999999999E-2</v>
      </c>
      <c r="H251" t="s">
        <v>11</v>
      </c>
    </row>
    <row r="252" spans="1:8" x14ac:dyDescent="0.25">
      <c r="A252" t="str">
        <f t="shared" si="3"/>
        <v>31-Jul-18</v>
      </c>
      <c r="B252" t="s">
        <v>7</v>
      </c>
      <c r="C252" t="s">
        <v>8</v>
      </c>
      <c r="D252" t="str">
        <f>"BDSV2V0"</f>
        <v>BDSV2V0</v>
      </c>
      <c r="E252" t="s">
        <v>265</v>
      </c>
      <c r="F252" t="s">
        <v>223</v>
      </c>
      <c r="G252">
        <v>0.05</v>
      </c>
      <c r="H252" t="s">
        <v>11</v>
      </c>
    </row>
    <row r="253" spans="1:8" x14ac:dyDescent="0.25">
      <c r="A253" t="str">
        <f t="shared" si="3"/>
        <v>31-Jul-18</v>
      </c>
      <c r="B253" t="s">
        <v>7</v>
      </c>
      <c r="C253" t="s">
        <v>8</v>
      </c>
      <c r="D253" t="str">
        <f>"5543986"</f>
        <v>5543986</v>
      </c>
      <c r="E253" t="s">
        <v>266</v>
      </c>
      <c r="F253" t="s">
        <v>223</v>
      </c>
      <c r="G253">
        <v>1.7999999999999999E-2</v>
      </c>
      <c r="H253" t="s">
        <v>11</v>
      </c>
    </row>
    <row r="254" spans="1:8" x14ac:dyDescent="0.25">
      <c r="A254" t="str">
        <f t="shared" si="3"/>
        <v>31-Jul-18</v>
      </c>
      <c r="B254" t="s">
        <v>7</v>
      </c>
      <c r="C254" t="s">
        <v>8</v>
      </c>
      <c r="D254" t="str">
        <f>"4182249"</f>
        <v>4182249</v>
      </c>
      <c r="E254" t="s">
        <v>267</v>
      </c>
      <c r="F254" t="s">
        <v>223</v>
      </c>
      <c r="G254">
        <v>0.121</v>
      </c>
      <c r="H254" t="s">
        <v>11</v>
      </c>
    </row>
    <row r="255" spans="1:8" x14ac:dyDescent="0.25">
      <c r="A255" t="str">
        <f t="shared" si="3"/>
        <v>31-Jul-18</v>
      </c>
      <c r="B255" t="s">
        <v>7</v>
      </c>
      <c r="C255" t="s">
        <v>8</v>
      </c>
      <c r="D255" t="str">
        <f>"B283W97"</f>
        <v>B283W97</v>
      </c>
      <c r="E255" t="s">
        <v>268</v>
      </c>
      <c r="F255" t="s">
        <v>223</v>
      </c>
      <c r="G255">
        <v>3.1E-2</v>
      </c>
      <c r="H255" t="s">
        <v>11</v>
      </c>
    </row>
    <row r="256" spans="1:8" x14ac:dyDescent="0.25">
      <c r="A256" t="str">
        <f t="shared" si="3"/>
        <v>31-Jul-18</v>
      </c>
      <c r="B256" t="s">
        <v>7</v>
      </c>
      <c r="C256" t="s">
        <v>8</v>
      </c>
      <c r="D256" t="str">
        <f>"4163437"</f>
        <v>4163437</v>
      </c>
      <c r="E256" t="s">
        <v>269</v>
      </c>
      <c r="F256" t="s">
        <v>223</v>
      </c>
      <c r="G256">
        <v>0.09</v>
      </c>
      <c r="H256" t="s">
        <v>11</v>
      </c>
    </row>
    <row r="257" spans="1:8" x14ac:dyDescent="0.25">
      <c r="A257" t="str">
        <f t="shared" si="3"/>
        <v>31-Jul-18</v>
      </c>
      <c r="B257" t="s">
        <v>7</v>
      </c>
      <c r="C257" t="s">
        <v>8</v>
      </c>
      <c r="D257" t="str">
        <f>"5641567"</f>
        <v>5641567</v>
      </c>
      <c r="E257" t="s">
        <v>270</v>
      </c>
      <c r="F257" t="s">
        <v>223</v>
      </c>
      <c r="G257">
        <v>2.4E-2</v>
      </c>
      <c r="H257" t="s">
        <v>11</v>
      </c>
    </row>
    <row r="258" spans="1:8" x14ac:dyDescent="0.25">
      <c r="A258" t="str">
        <f t="shared" ref="A258:A321" si="4">"31-Jul-18"</f>
        <v>31-Jul-18</v>
      </c>
      <c r="B258" t="s">
        <v>7</v>
      </c>
      <c r="C258" t="s">
        <v>8</v>
      </c>
      <c r="D258" t="str">
        <f>"4178419"</f>
        <v>4178419</v>
      </c>
      <c r="E258" t="s">
        <v>271</v>
      </c>
      <c r="F258" t="s">
        <v>223</v>
      </c>
      <c r="G258">
        <v>8.9999999999999993E-3</v>
      </c>
      <c r="H258" t="s">
        <v>11</v>
      </c>
    </row>
    <row r="259" spans="1:8" x14ac:dyDescent="0.25">
      <c r="A259" t="str">
        <f t="shared" si="4"/>
        <v>31-Jul-18</v>
      </c>
      <c r="B259" t="s">
        <v>7</v>
      </c>
      <c r="C259" t="s">
        <v>8</v>
      </c>
      <c r="D259" t="str">
        <f>"4588364"</f>
        <v>4588364</v>
      </c>
      <c r="E259" t="s">
        <v>272</v>
      </c>
      <c r="F259" t="s">
        <v>223</v>
      </c>
      <c r="G259">
        <v>0.09</v>
      </c>
      <c r="H259" t="s">
        <v>11</v>
      </c>
    </row>
    <row r="260" spans="1:8" x14ac:dyDescent="0.25">
      <c r="A260" t="str">
        <f t="shared" si="4"/>
        <v>31-Jul-18</v>
      </c>
      <c r="B260" t="s">
        <v>7</v>
      </c>
      <c r="C260" t="s">
        <v>8</v>
      </c>
      <c r="D260" t="str">
        <f>"7380482"</f>
        <v>7380482</v>
      </c>
      <c r="E260" t="s">
        <v>273</v>
      </c>
      <c r="F260" t="s">
        <v>223</v>
      </c>
      <c r="G260">
        <v>0.1</v>
      </c>
      <c r="H260" t="s">
        <v>11</v>
      </c>
    </row>
    <row r="261" spans="1:8" x14ac:dyDescent="0.25">
      <c r="A261" t="str">
        <f t="shared" si="4"/>
        <v>31-Jul-18</v>
      </c>
      <c r="B261" t="s">
        <v>7</v>
      </c>
      <c r="C261" t="s">
        <v>8</v>
      </c>
      <c r="D261" t="str">
        <f>"5806225"</f>
        <v>5806225</v>
      </c>
      <c r="E261" t="s">
        <v>274</v>
      </c>
      <c r="F261" t="s">
        <v>223</v>
      </c>
      <c r="G261">
        <v>0.01</v>
      </c>
      <c r="H261" t="s">
        <v>11</v>
      </c>
    </row>
    <row r="262" spans="1:8" x14ac:dyDescent="0.25">
      <c r="A262" t="str">
        <f t="shared" si="4"/>
        <v>31-Jul-18</v>
      </c>
      <c r="B262" t="s">
        <v>7</v>
      </c>
      <c r="C262" t="s">
        <v>8</v>
      </c>
      <c r="D262" t="str">
        <f>"B90LKT4"</f>
        <v>B90LKT4</v>
      </c>
      <c r="E262" t="s">
        <v>275</v>
      </c>
      <c r="F262" t="s">
        <v>223</v>
      </c>
      <c r="G262">
        <v>2.1999999999999999E-2</v>
      </c>
      <c r="H262" t="s">
        <v>11</v>
      </c>
    </row>
    <row r="263" spans="1:8" x14ac:dyDescent="0.25">
      <c r="A263" t="str">
        <f t="shared" si="4"/>
        <v>31-Jul-18</v>
      </c>
      <c r="B263" t="s">
        <v>7</v>
      </c>
      <c r="C263" t="s">
        <v>8</v>
      </c>
      <c r="D263" t="str">
        <f>"4598589"</f>
        <v>4598589</v>
      </c>
      <c r="E263" t="s">
        <v>276</v>
      </c>
      <c r="F263" t="s">
        <v>223</v>
      </c>
      <c r="G263">
        <v>0.05</v>
      </c>
      <c r="H263" t="s">
        <v>11</v>
      </c>
    </row>
    <row r="264" spans="1:8" x14ac:dyDescent="0.25">
      <c r="A264" t="str">
        <f t="shared" si="4"/>
        <v>31-Jul-18</v>
      </c>
      <c r="B264" t="s">
        <v>7</v>
      </c>
      <c r="C264" t="s">
        <v>8</v>
      </c>
      <c r="D264" t="str">
        <f>"BYTBWY9"</f>
        <v>BYTBWY9</v>
      </c>
      <c r="E264" t="s">
        <v>277</v>
      </c>
      <c r="F264" t="s">
        <v>223</v>
      </c>
      <c r="G264">
        <v>2.4E-2</v>
      </c>
      <c r="H264" t="s">
        <v>11</v>
      </c>
    </row>
    <row r="265" spans="1:8" x14ac:dyDescent="0.25">
      <c r="A265" t="str">
        <f t="shared" si="4"/>
        <v>31-Jul-18</v>
      </c>
      <c r="B265" t="s">
        <v>7</v>
      </c>
      <c r="C265" t="s">
        <v>8</v>
      </c>
      <c r="D265" t="str">
        <f>"7745638"</f>
        <v>7745638</v>
      </c>
      <c r="E265" t="s">
        <v>278</v>
      </c>
      <c r="F265" t="s">
        <v>223</v>
      </c>
      <c r="G265">
        <v>1.2999999999999999E-2</v>
      </c>
      <c r="H265" t="s">
        <v>11</v>
      </c>
    </row>
    <row r="266" spans="1:8" x14ac:dyDescent="0.25">
      <c r="A266" t="str">
        <f t="shared" si="4"/>
        <v>31-Jul-18</v>
      </c>
      <c r="B266" t="s">
        <v>7</v>
      </c>
      <c r="C266" t="s">
        <v>8</v>
      </c>
      <c r="D266" t="str">
        <f>"7262610"</f>
        <v>7262610</v>
      </c>
      <c r="E266" t="s">
        <v>279</v>
      </c>
      <c r="F266" t="s">
        <v>223</v>
      </c>
      <c r="G266">
        <v>3.7999999999999999E-2</v>
      </c>
      <c r="H266" t="s">
        <v>11</v>
      </c>
    </row>
    <row r="267" spans="1:8" x14ac:dyDescent="0.25">
      <c r="A267" t="str">
        <f t="shared" si="4"/>
        <v>31-Jul-18</v>
      </c>
      <c r="B267" t="s">
        <v>7</v>
      </c>
      <c r="C267" t="s">
        <v>8</v>
      </c>
      <c r="D267" t="str">
        <f>"5529027"</f>
        <v>5529027</v>
      </c>
      <c r="E267" t="s">
        <v>280</v>
      </c>
      <c r="F267" t="s">
        <v>223</v>
      </c>
      <c r="G267">
        <v>9.9000000000000005E-2</v>
      </c>
      <c r="H267" t="s">
        <v>11</v>
      </c>
    </row>
    <row r="268" spans="1:8" x14ac:dyDescent="0.25">
      <c r="A268" t="str">
        <f t="shared" si="4"/>
        <v>31-Jul-18</v>
      </c>
      <c r="B268" t="s">
        <v>7</v>
      </c>
      <c r="C268" t="s">
        <v>8</v>
      </c>
      <c r="D268" t="str">
        <f>"B1Y9TB3"</f>
        <v>B1Y9TB3</v>
      </c>
      <c r="E268" t="s">
        <v>281</v>
      </c>
      <c r="F268" t="s">
        <v>223</v>
      </c>
      <c r="G268">
        <v>0.20699999999999999</v>
      </c>
      <c r="H268" t="s">
        <v>11</v>
      </c>
    </row>
    <row r="269" spans="1:8" x14ac:dyDescent="0.25">
      <c r="A269" t="str">
        <f t="shared" si="4"/>
        <v>31-Jul-18</v>
      </c>
      <c r="B269" t="s">
        <v>7</v>
      </c>
      <c r="C269" t="s">
        <v>8</v>
      </c>
      <c r="D269" t="str">
        <f>"5330047"</f>
        <v>5330047</v>
      </c>
      <c r="E269" t="s">
        <v>282</v>
      </c>
      <c r="F269" t="s">
        <v>223</v>
      </c>
      <c r="G269">
        <v>5.0999999999999997E-2</v>
      </c>
      <c r="H269" t="s">
        <v>11</v>
      </c>
    </row>
    <row r="270" spans="1:8" x14ac:dyDescent="0.25">
      <c r="A270" t="str">
        <f t="shared" si="4"/>
        <v>31-Jul-18</v>
      </c>
      <c r="B270" t="s">
        <v>7</v>
      </c>
      <c r="C270" t="s">
        <v>8</v>
      </c>
      <c r="D270" t="str">
        <f>"BZ4CMZ5"</f>
        <v>BZ4CMZ5</v>
      </c>
      <c r="E270" t="s">
        <v>283</v>
      </c>
      <c r="F270" t="s">
        <v>223</v>
      </c>
      <c r="G270">
        <v>0.01</v>
      </c>
      <c r="H270" t="s">
        <v>11</v>
      </c>
    </row>
    <row r="271" spans="1:8" x14ac:dyDescent="0.25">
      <c r="A271" t="str">
        <f t="shared" si="4"/>
        <v>31-Jul-18</v>
      </c>
      <c r="B271" t="s">
        <v>7</v>
      </c>
      <c r="C271" t="s">
        <v>8</v>
      </c>
      <c r="D271" t="str">
        <f>"BZCNB42"</f>
        <v>BZCNB42</v>
      </c>
      <c r="E271" t="s">
        <v>284</v>
      </c>
      <c r="F271" t="s">
        <v>223</v>
      </c>
      <c r="G271">
        <v>1.0999999999999999E-2</v>
      </c>
      <c r="H271" t="s">
        <v>11</v>
      </c>
    </row>
    <row r="272" spans="1:8" x14ac:dyDescent="0.25">
      <c r="A272" t="str">
        <f t="shared" si="4"/>
        <v>31-Jul-18</v>
      </c>
      <c r="B272" t="s">
        <v>7</v>
      </c>
      <c r="C272" t="s">
        <v>8</v>
      </c>
      <c r="D272" t="str">
        <f>"5750355"</f>
        <v>5750355</v>
      </c>
      <c r="E272" t="s">
        <v>285</v>
      </c>
      <c r="F272" t="s">
        <v>223</v>
      </c>
      <c r="G272">
        <v>6.3E-2</v>
      </c>
      <c r="H272" t="s">
        <v>11</v>
      </c>
    </row>
    <row r="273" spans="1:8" x14ac:dyDescent="0.25">
      <c r="A273" t="str">
        <f t="shared" si="4"/>
        <v>31-Jul-18</v>
      </c>
      <c r="B273" t="s">
        <v>7</v>
      </c>
      <c r="C273" t="s">
        <v>8</v>
      </c>
      <c r="D273" t="str">
        <f>"7021963"</f>
        <v>7021963</v>
      </c>
      <c r="E273" t="s">
        <v>286</v>
      </c>
      <c r="F273" t="s">
        <v>223</v>
      </c>
      <c r="G273">
        <v>0.105</v>
      </c>
      <c r="H273" t="s">
        <v>11</v>
      </c>
    </row>
    <row r="274" spans="1:8" x14ac:dyDescent="0.25">
      <c r="A274" t="str">
        <f t="shared" si="4"/>
        <v>31-Jul-18</v>
      </c>
      <c r="B274" t="s">
        <v>7</v>
      </c>
      <c r="C274" t="s">
        <v>8</v>
      </c>
      <c r="D274" t="str">
        <f>"5287488"</f>
        <v>5287488</v>
      </c>
      <c r="E274" t="s">
        <v>287</v>
      </c>
      <c r="F274" t="s">
        <v>223</v>
      </c>
      <c r="G274">
        <v>1.2E-2</v>
      </c>
      <c r="H274" t="s">
        <v>11</v>
      </c>
    </row>
    <row r="275" spans="1:8" x14ac:dyDescent="0.25">
      <c r="A275" t="str">
        <f t="shared" si="4"/>
        <v>31-Jul-18</v>
      </c>
      <c r="B275" t="s">
        <v>7</v>
      </c>
      <c r="C275" t="s">
        <v>8</v>
      </c>
      <c r="D275" t="str">
        <f>"4617859"</f>
        <v>4617859</v>
      </c>
      <c r="E275" t="s">
        <v>288</v>
      </c>
      <c r="F275" t="s">
        <v>223</v>
      </c>
      <c r="G275">
        <v>0.14499999999999999</v>
      </c>
      <c r="H275" t="s">
        <v>11</v>
      </c>
    </row>
    <row r="276" spans="1:8" x14ac:dyDescent="0.25">
      <c r="A276" t="str">
        <f t="shared" si="4"/>
        <v>31-Jul-18</v>
      </c>
      <c r="B276" t="s">
        <v>7</v>
      </c>
      <c r="C276" t="s">
        <v>8</v>
      </c>
      <c r="D276" t="str">
        <f>"5842359"</f>
        <v>5842359</v>
      </c>
      <c r="E276" t="s">
        <v>289</v>
      </c>
      <c r="F276" t="s">
        <v>223</v>
      </c>
      <c r="G276">
        <v>0.11799999999999999</v>
      </c>
      <c r="H276" t="s">
        <v>11</v>
      </c>
    </row>
    <row r="277" spans="1:8" x14ac:dyDescent="0.25">
      <c r="A277" t="str">
        <f t="shared" si="4"/>
        <v>31-Jul-18</v>
      </c>
      <c r="B277" t="s">
        <v>7</v>
      </c>
      <c r="C277" t="s">
        <v>8</v>
      </c>
      <c r="D277" t="str">
        <f>"B0YZ0Z5"</f>
        <v>B0YZ0Z5</v>
      </c>
      <c r="E277" t="s">
        <v>290</v>
      </c>
      <c r="F277" t="s">
        <v>223</v>
      </c>
      <c r="G277">
        <v>7.1999999999999995E-2</v>
      </c>
      <c r="H277" t="s">
        <v>11</v>
      </c>
    </row>
    <row r="278" spans="1:8" x14ac:dyDescent="0.25">
      <c r="A278" t="str">
        <f t="shared" si="4"/>
        <v>31-Jul-18</v>
      </c>
      <c r="B278" t="s">
        <v>7</v>
      </c>
      <c r="C278" t="s">
        <v>8</v>
      </c>
      <c r="D278" t="str">
        <f>"4942904"</f>
        <v>4942904</v>
      </c>
      <c r="E278" t="s">
        <v>291</v>
      </c>
      <c r="F278" t="s">
        <v>223</v>
      </c>
      <c r="G278">
        <v>0.10199999999999999</v>
      </c>
      <c r="H278" t="s">
        <v>11</v>
      </c>
    </row>
    <row r="279" spans="1:8" x14ac:dyDescent="0.25">
      <c r="A279" t="str">
        <f t="shared" si="4"/>
        <v>31-Jul-18</v>
      </c>
      <c r="B279" t="s">
        <v>7</v>
      </c>
      <c r="C279" t="s">
        <v>8</v>
      </c>
      <c r="D279" t="str">
        <f>"4103596"</f>
        <v>4103596</v>
      </c>
      <c r="E279" t="s">
        <v>292</v>
      </c>
      <c r="F279" t="s">
        <v>223</v>
      </c>
      <c r="G279">
        <v>4.2999999999999997E-2</v>
      </c>
      <c r="H279" t="s">
        <v>11</v>
      </c>
    </row>
    <row r="280" spans="1:8" x14ac:dyDescent="0.25">
      <c r="A280" t="str">
        <f t="shared" si="4"/>
        <v>31-Jul-18</v>
      </c>
      <c r="B280" t="s">
        <v>7</v>
      </c>
      <c r="C280" t="s">
        <v>8</v>
      </c>
      <c r="D280" t="str">
        <f>"BYSLCX9"</f>
        <v>BYSLCX9</v>
      </c>
      <c r="E280" t="s">
        <v>293</v>
      </c>
      <c r="F280" t="s">
        <v>223</v>
      </c>
      <c r="G280">
        <v>1.6E-2</v>
      </c>
      <c r="H280" t="s">
        <v>11</v>
      </c>
    </row>
    <row r="281" spans="1:8" x14ac:dyDescent="0.25">
      <c r="A281" t="str">
        <f t="shared" si="4"/>
        <v>31-Jul-18</v>
      </c>
      <c r="B281" t="s">
        <v>7</v>
      </c>
      <c r="C281" t="s">
        <v>8</v>
      </c>
      <c r="D281" t="str">
        <f>"B62G1B5"</f>
        <v>B62G1B5</v>
      </c>
      <c r="E281" t="s">
        <v>294</v>
      </c>
      <c r="F281" t="s">
        <v>223</v>
      </c>
      <c r="G281">
        <v>4.5999999999999999E-2</v>
      </c>
      <c r="H281" t="s">
        <v>11</v>
      </c>
    </row>
    <row r="282" spans="1:8" x14ac:dyDescent="0.25">
      <c r="A282" t="str">
        <f t="shared" si="4"/>
        <v>31-Jul-18</v>
      </c>
      <c r="B282" t="s">
        <v>7</v>
      </c>
      <c r="C282" t="s">
        <v>8</v>
      </c>
      <c r="D282" t="str">
        <f>"B13X013"</f>
        <v>B13X013</v>
      </c>
      <c r="E282" t="s">
        <v>295</v>
      </c>
      <c r="F282" t="s">
        <v>223</v>
      </c>
      <c r="G282">
        <v>4.3999999999999997E-2</v>
      </c>
      <c r="H282" t="s">
        <v>11</v>
      </c>
    </row>
    <row r="283" spans="1:8" x14ac:dyDescent="0.25">
      <c r="A283" t="str">
        <f t="shared" si="4"/>
        <v>31-Jul-18</v>
      </c>
      <c r="B283" t="s">
        <v>7</v>
      </c>
      <c r="C283" t="s">
        <v>8</v>
      </c>
      <c r="D283" t="str">
        <f>"B0NJJ17"</f>
        <v>B0NJJ17</v>
      </c>
      <c r="E283" t="s">
        <v>296</v>
      </c>
      <c r="F283" t="s">
        <v>223</v>
      </c>
      <c r="G283">
        <v>1.9E-2</v>
      </c>
      <c r="H283" t="s">
        <v>11</v>
      </c>
    </row>
    <row r="284" spans="1:8" x14ac:dyDescent="0.25">
      <c r="A284" t="str">
        <f t="shared" si="4"/>
        <v>31-Jul-18</v>
      </c>
      <c r="B284" t="s">
        <v>7</v>
      </c>
      <c r="C284" t="s">
        <v>8</v>
      </c>
      <c r="D284" t="str">
        <f>"5701513"</f>
        <v>5701513</v>
      </c>
      <c r="E284" t="s">
        <v>297</v>
      </c>
      <c r="F284" t="s">
        <v>223</v>
      </c>
      <c r="G284">
        <v>1.0999999999999999E-2</v>
      </c>
      <c r="H284" t="s">
        <v>11</v>
      </c>
    </row>
    <row r="285" spans="1:8" x14ac:dyDescent="0.25">
      <c r="A285" t="str">
        <f t="shared" si="4"/>
        <v>31-Jul-18</v>
      </c>
      <c r="B285" t="s">
        <v>7</v>
      </c>
      <c r="C285" t="s">
        <v>8</v>
      </c>
      <c r="D285" t="str">
        <f>"7383072"</f>
        <v>7383072</v>
      </c>
      <c r="E285" t="s">
        <v>298</v>
      </c>
      <c r="F285" t="s">
        <v>223</v>
      </c>
      <c r="G285">
        <v>0.02</v>
      </c>
      <c r="H285" t="s">
        <v>11</v>
      </c>
    </row>
    <row r="286" spans="1:8" x14ac:dyDescent="0.25">
      <c r="A286" t="str">
        <f t="shared" si="4"/>
        <v>31-Jul-18</v>
      </c>
      <c r="B286" t="s">
        <v>7</v>
      </c>
      <c r="C286" t="s">
        <v>8</v>
      </c>
      <c r="D286" t="str">
        <f>"5271782"</f>
        <v>5271782</v>
      </c>
      <c r="E286" t="s">
        <v>299</v>
      </c>
      <c r="F286" t="s">
        <v>223</v>
      </c>
      <c r="G286">
        <v>0.03</v>
      </c>
      <c r="H286" t="s">
        <v>11</v>
      </c>
    </row>
    <row r="287" spans="1:8" x14ac:dyDescent="0.25">
      <c r="A287" t="str">
        <f t="shared" si="4"/>
        <v>31-Jul-18</v>
      </c>
      <c r="B287" t="s">
        <v>7</v>
      </c>
      <c r="C287" t="s">
        <v>8</v>
      </c>
      <c r="D287" t="str">
        <f>"7144569"</f>
        <v>7144569</v>
      </c>
      <c r="E287" t="s">
        <v>300</v>
      </c>
      <c r="F287" t="s">
        <v>223</v>
      </c>
      <c r="G287">
        <v>0.189</v>
      </c>
      <c r="H287" t="s">
        <v>11</v>
      </c>
    </row>
    <row r="288" spans="1:8" x14ac:dyDescent="0.25">
      <c r="A288" t="str">
        <f t="shared" si="4"/>
        <v>31-Jul-18</v>
      </c>
      <c r="B288" t="s">
        <v>7</v>
      </c>
      <c r="C288" t="s">
        <v>8</v>
      </c>
      <c r="D288" t="str">
        <f>"B0C2CQ3"</f>
        <v>B0C2CQ3</v>
      </c>
      <c r="E288" t="s">
        <v>301</v>
      </c>
      <c r="F288" t="s">
        <v>223</v>
      </c>
      <c r="G288">
        <v>6.6000000000000003E-2</v>
      </c>
      <c r="H288" t="s">
        <v>11</v>
      </c>
    </row>
    <row r="289" spans="1:8" x14ac:dyDescent="0.25">
      <c r="A289" t="str">
        <f t="shared" si="4"/>
        <v>31-Jul-18</v>
      </c>
      <c r="B289" t="s">
        <v>7</v>
      </c>
      <c r="C289" t="s">
        <v>8</v>
      </c>
      <c r="D289" t="str">
        <f>"5289837"</f>
        <v>5289837</v>
      </c>
      <c r="E289" t="s">
        <v>302</v>
      </c>
      <c r="F289" t="s">
        <v>223</v>
      </c>
      <c r="G289">
        <v>2.4E-2</v>
      </c>
      <c r="H289" t="s">
        <v>11</v>
      </c>
    </row>
    <row r="290" spans="1:8" x14ac:dyDescent="0.25">
      <c r="A290" t="str">
        <f t="shared" si="4"/>
        <v>31-Jul-18</v>
      </c>
      <c r="B290" t="s">
        <v>7</v>
      </c>
      <c r="C290" t="s">
        <v>8</v>
      </c>
      <c r="D290" t="str">
        <f>"7212477"</f>
        <v>7212477</v>
      </c>
      <c r="E290" t="s">
        <v>303</v>
      </c>
      <c r="F290" t="s">
        <v>223</v>
      </c>
      <c r="G290">
        <v>0.128</v>
      </c>
      <c r="H290" t="s">
        <v>11</v>
      </c>
    </row>
    <row r="291" spans="1:8" x14ac:dyDescent="0.25">
      <c r="A291" t="str">
        <f t="shared" si="4"/>
        <v>31-Jul-18</v>
      </c>
      <c r="B291" t="s">
        <v>7</v>
      </c>
      <c r="C291" t="s">
        <v>8</v>
      </c>
      <c r="D291" t="str">
        <f>"7042395"</f>
        <v>7042395</v>
      </c>
      <c r="E291" t="s">
        <v>304</v>
      </c>
      <c r="F291" t="s">
        <v>223</v>
      </c>
      <c r="G291">
        <v>1.7999999999999999E-2</v>
      </c>
      <c r="H291" t="s">
        <v>11</v>
      </c>
    </row>
    <row r="292" spans="1:8" x14ac:dyDescent="0.25">
      <c r="A292" t="str">
        <f t="shared" si="4"/>
        <v>31-Jul-18</v>
      </c>
      <c r="B292" t="s">
        <v>7</v>
      </c>
      <c r="C292" t="s">
        <v>8</v>
      </c>
      <c r="D292" t="str">
        <f>"5972643"</f>
        <v>5972643</v>
      </c>
      <c r="E292" t="s">
        <v>305</v>
      </c>
      <c r="F292" t="s">
        <v>223</v>
      </c>
      <c r="G292">
        <v>1.4E-2</v>
      </c>
      <c r="H292" t="s">
        <v>11</v>
      </c>
    </row>
    <row r="293" spans="1:8" x14ac:dyDescent="0.25">
      <c r="A293" t="str">
        <f t="shared" si="4"/>
        <v>31-Jul-18</v>
      </c>
      <c r="B293" t="s">
        <v>7</v>
      </c>
      <c r="C293" t="s">
        <v>8</v>
      </c>
      <c r="D293" t="str">
        <f>"B0M7KJ7"</f>
        <v>B0M7KJ7</v>
      </c>
      <c r="E293" t="s">
        <v>306</v>
      </c>
      <c r="F293" t="s">
        <v>223</v>
      </c>
      <c r="G293">
        <v>0.01</v>
      </c>
      <c r="H293" t="s">
        <v>11</v>
      </c>
    </row>
    <row r="294" spans="1:8" x14ac:dyDescent="0.25">
      <c r="A294" t="str">
        <f t="shared" si="4"/>
        <v>31-Jul-18</v>
      </c>
      <c r="B294" t="s">
        <v>7</v>
      </c>
      <c r="C294" t="s">
        <v>8</v>
      </c>
      <c r="D294" t="str">
        <f>"B5ZQ9D3"</f>
        <v>B5ZQ9D3</v>
      </c>
      <c r="E294" t="s">
        <v>307</v>
      </c>
      <c r="F294" t="s">
        <v>223</v>
      </c>
      <c r="G294">
        <v>1.0999999999999999E-2</v>
      </c>
      <c r="H294" t="s">
        <v>11</v>
      </c>
    </row>
    <row r="295" spans="1:8" x14ac:dyDescent="0.25">
      <c r="A295" t="str">
        <f t="shared" si="4"/>
        <v>31-Jul-18</v>
      </c>
      <c r="B295" t="s">
        <v>7</v>
      </c>
      <c r="C295" t="s">
        <v>8</v>
      </c>
      <c r="D295" t="str">
        <f>"4354350"</f>
        <v>4354350</v>
      </c>
      <c r="E295" t="s">
        <v>308</v>
      </c>
      <c r="F295" t="s">
        <v>223</v>
      </c>
      <c r="G295">
        <v>3.0000000000000001E-3</v>
      </c>
      <c r="H295" t="s">
        <v>11</v>
      </c>
    </row>
    <row r="296" spans="1:8" x14ac:dyDescent="0.25">
      <c r="A296" t="str">
        <f t="shared" si="4"/>
        <v>31-Jul-18</v>
      </c>
      <c r="B296" t="s">
        <v>7</v>
      </c>
      <c r="C296" t="s">
        <v>8</v>
      </c>
      <c r="D296" t="str">
        <f>"4400446"</f>
        <v>4400446</v>
      </c>
      <c r="E296" t="s">
        <v>309</v>
      </c>
      <c r="F296" t="s">
        <v>223</v>
      </c>
      <c r="G296">
        <v>1.0999999999999999E-2</v>
      </c>
      <c r="H296" t="s">
        <v>11</v>
      </c>
    </row>
    <row r="297" spans="1:8" x14ac:dyDescent="0.25">
      <c r="A297" t="str">
        <f t="shared" si="4"/>
        <v>31-Jul-18</v>
      </c>
      <c r="B297" t="s">
        <v>7</v>
      </c>
      <c r="C297" t="s">
        <v>8</v>
      </c>
      <c r="D297" t="str">
        <f>"BD6G507"</f>
        <v>BD6G507</v>
      </c>
      <c r="E297" t="s">
        <v>310</v>
      </c>
      <c r="F297" t="s">
        <v>223</v>
      </c>
      <c r="G297">
        <v>2.8000000000000001E-2</v>
      </c>
      <c r="H297" t="s">
        <v>11</v>
      </c>
    </row>
    <row r="298" spans="1:8" x14ac:dyDescent="0.25">
      <c r="A298" t="str">
        <f t="shared" si="4"/>
        <v>31-Jul-18</v>
      </c>
      <c r="B298" t="s">
        <v>7</v>
      </c>
      <c r="C298" t="s">
        <v>8</v>
      </c>
      <c r="D298" t="str">
        <f>"B038516"</f>
        <v>B038516</v>
      </c>
      <c r="E298" t="s">
        <v>311</v>
      </c>
      <c r="F298" t="s">
        <v>223</v>
      </c>
      <c r="G298">
        <v>5.0999999999999997E-2</v>
      </c>
      <c r="H298" t="s">
        <v>11</v>
      </c>
    </row>
    <row r="299" spans="1:8" x14ac:dyDescent="0.25">
      <c r="A299" t="str">
        <f t="shared" si="4"/>
        <v>31-Jul-18</v>
      </c>
      <c r="B299" t="s">
        <v>7</v>
      </c>
      <c r="C299" t="s">
        <v>8</v>
      </c>
      <c r="D299" t="str">
        <f>"BRJFWP3"</f>
        <v>BRJFWP3</v>
      </c>
      <c r="E299" t="s">
        <v>312</v>
      </c>
      <c r="F299" t="s">
        <v>223</v>
      </c>
      <c r="G299">
        <v>1.9E-2</v>
      </c>
      <c r="H299" t="s">
        <v>11</v>
      </c>
    </row>
    <row r="300" spans="1:8" x14ac:dyDescent="0.25">
      <c r="A300" t="str">
        <f t="shared" si="4"/>
        <v>31-Jul-18</v>
      </c>
      <c r="B300" t="s">
        <v>7</v>
      </c>
      <c r="C300" t="s">
        <v>8</v>
      </c>
      <c r="D300" t="str">
        <f>"5579550"</f>
        <v>5579550</v>
      </c>
      <c r="E300" t="s">
        <v>313</v>
      </c>
      <c r="F300" t="s">
        <v>223</v>
      </c>
      <c r="G300">
        <v>2.5999999999999999E-2</v>
      </c>
      <c r="H300" t="s">
        <v>11</v>
      </c>
    </row>
    <row r="301" spans="1:8" x14ac:dyDescent="0.25">
      <c r="A301" t="str">
        <f t="shared" si="4"/>
        <v>31-Jul-18</v>
      </c>
      <c r="B301" t="s">
        <v>7</v>
      </c>
      <c r="C301" t="s">
        <v>8</v>
      </c>
      <c r="D301" t="str">
        <f>"7107551"</f>
        <v>7107551</v>
      </c>
      <c r="E301" t="s">
        <v>314</v>
      </c>
      <c r="F301" t="s">
        <v>223</v>
      </c>
      <c r="G301">
        <v>1.4999999999999999E-2</v>
      </c>
      <c r="H301" t="s">
        <v>11</v>
      </c>
    </row>
    <row r="302" spans="1:8" x14ac:dyDescent="0.25">
      <c r="A302" t="str">
        <f t="shared" si="4"/>
        <v>31-Jul-18</v>
      </c>
      <c r="B302" t="s">
        <v>7</v>
      </c>
      <c r="C302" t="s">
        <v>8</v>
      </c>
      <c r="D302" t="str">
        <f>"5129074"</f>
        <v>5129074</v>
      </c>
      <c r="E302" t="s">
        <v>315</v>
      </c>
      <c r="F302" t="s">
        <v>223</v>
      </c>
      <c r="G302">
        <v>3.6999999999999998E-2</v>
      </c>
      <c r="H302" t="s">
        <v>11</v>
      </c>
    </row>
    <row r="303" spans="1:8" x14ac:dyDescent="0.25">
      <c r="A303" t="str">
        <f t="shared" si="4"/>
        <v>31-Jul-18</v>
      </c>
      <c r="B303" t="s">
        <v>7</v>
      </c>
      <c r="C303" t="s">
        <v>8</v>
      </c>
      <c r="D303" t="str">
        <f>"4352097"</f>
        <v>4352097</v>
      </c>
      <c r="E303" t="s">
        <v>316</v>
      </c>
      <c r="F303" t="s">
        <v>223</v>
      </c>
      <c r="G303">
        <v>8.1000000000000003E-2</v>
      </c>
      <c r="H303" t="s">
        <v>11</v>
      </c>
    </row>
    <row r="304" spans="1:8" x14ac:dyDescent="0.25">
      <c r="A304" t="str">
        <f t="shared" si="4"/>
        <v>31-Jul-18</v>
      </c>
      <c r="B304" t="s">
        <v>7</v>
      </c>
      <c r="C304" t="s">
        <v>8</v>
      </c>
      <c r="D304" t="str">
        <f>"4557104"</f>
        <v>4557104</v>
      </c>
      <c r="E304" t="s">
        <v>317</v>
      </c>
      <c r="F304" t="s">
        <v>223</v>
      </c>
      <c r="G304">
        <v>1.2999999999999999E-2</v>
      </c>
      <c r="H304" t="s">
        <v>11</v>
      </c>
    </row>
    <row r="305" spans="1:8" x14ac:dyDescent="0.25">
      <c r="A305" t="str">
        <f t="shared" si="4"/>
        <v>31-Jul-18</v>
      </c>
      <c r="B305" t="s">
        <v>7</v>
      </c>
      <c r="C305" t="s">
        <v>8</v>
      </c>
      <c r="D305" t="str">
        <f>"B1FW751"</f>
        <v>B1FW751</v>
      </c>
      <c r="E305" t="s">
        <v>318</v>
      </c>
      <c r="F305" t="s">
        <v>223</v>
      </c>
      <c r="G305">
        <v>4.8000000000000001E-2</v>
      </c>
      <c r="H305" t="s">
        <v>11</v>
      </c>
    </row>
    <row r="306" spans="1:8" x14ac:dyDescent="0.25">
      <c r="A306" t="str">
        <f t="shared" si="4"/>
        <v>31-Jul-18</v>
      </c>
      <c r="B306" t="s">
        <v>7</v>
      </c>
      <c r="C306" t="s">
        <v>8</v>
      </c>
      <c r="D306" t="str">
        <f>"7742468"</f>
        <v>7742468</v>
      </c>
      <c r="E306" t="s">
        <v>319</v>
      </c>
      <c r="F306" t="s">
        <v>223</v>
      </c>
      <c r="G306">
        <v>3.3000000000000002E-2</v>
      </c>
      <c r="H306" t="s">
        <v>11</v>
      </c>
    </row>
    <row r="307" spans="1:8" x14ac:dyDescent="0.25">
      <c r="A307" t="str">
        <f t="shared" si="4"/>
        <v>31-Jul-18</v>
      </c>
      <c r="B307" t="s">
        <v>7</v>
      </c>
      <c r="C307" t="s">
        <v>8</v>
      </c>
      <c r="D307" t="str">
        <f>"B292JQ9"</f>
        <v>B292JQ9</v>
      </c>
      <c r="E307" t="s">
        <v>320</v>
      </c>
      <c r="F307" t="s">
        <v>223</v>
      </c>
      <c r="G307">
        <v>1.9E-2</v>
      </c>
      <c r="H307" t="s">
        <v>11</v>
      </c>
    </row>
    <row r="308" spans="1:8" x14ac:dyDescent="0.25">
      <c r="A308" t="str">
        <f t="shared" si="4"/>
        <v>31-Jul-18</v>
      </c>
      <c r="B308" t="s">
        <v>7</v>
      </c>
      <c r="C308" t="s">
        <v>8</v>
      </c>
      <c r="D308" t="str">
        <f>"BYY3DX6"</f>
        <v>BYY3DX6</v>
      </c>
      <c r="E308" t="s">
        <v>321</v>
      </c>
      <c r="F308" t="s">
        <v>223</v>
      </c>
      <c r="G308">
        <v>1.6E-2</v>
      </c>
      <c r="H308" t="s">
        <v>11</v>
      </c>
    </row>
    <row r="309" spans="1:8" x14ac:dyDescent="0.25">
      <c r="A309" t="str">
        <f t="shared" si="4"/>
        <v>31-Jul-18</v>
      </c>
      <c r="B309" t="s">
        <v>7</v>
      </c>
      <c r="C309" t="s">
        <v>8</v>
      </c>
      <c r="D309" t="str">
        <f>"7097328"</f>
        <v>7097328</v>
      </c>
      <c r="E309" t="s">
        <v>322</v>
      </c>
      <c r="F309" t="s">
        <v>223</v>
      </c>
      <c r="G309">
        <v>2.5000000000000001E-2</v>
      </c>
      <c r="H309" t="s">
        <v>11</v>
      </c>
    </row>
    <row r="310" spans="1:8" x14ac:dyDescent="0.25">
      <c r="A310" t="str">
        <f t="shared" si="4"/>
        <v>31-Jul-18</v>
      </c>
      <c r="B310" t="s">
        <v>7</v>
      </c>
      <c r="C310" t="s">
        <v>8</v>
      </c>
      <c r="D310" t="str">
        <f>"5108664"</f>
        <v>5108664</v>
      </c>
      <c r="E310" t="s">
        <v>323</v>
      </c>
      <c r="F310" t="s">
        <v>223</v>
      </c>
      <c r="G310">
        <v>1.6E-2</v>
      </c>
      <c r="H310" t="s">
        <v>11</v>
      </c>
    </row>
    <row r="311" spans="1:8" x14ac:dyDescent="0.25">
      <c r="A311" t="str">
        <f t="shared" si="4"/>
        <v>31-Jul-18</v>
      </c>
      <c r="B311" t="s">
        <v>7</v>
      </c>
      <c r="C311" t="s">
        <v>8</v>
      </c>
      <c r="D311" t="str">
        <f>"B88MHC4"</f>
        <v>B88MHC4</v>
      </c>
      <c r="E311" t="s">
        <v>324</v>
      </c>
      <c r="F311" t="s">
        <v>223</v>
      </c>
      <c r="G311">
        <v>1.0999999999999999E-2</v>
      </c>
      <c r="H311" t="s">
        <v>11</v>
      </c>
    </row>
    <row r="312" spans="1:8" x14ac:dyDescent="0.25">
      <c r="A312" t="str">
        <f t="shared" si="4"/>
        <v>31-Jul-18</v>
      </c>
      <c r="B312" t="s">
        <v>7</v>
      </c>
      <c r="C312" t="s">
        <v>8</v>
      </c>
      <c r="D312" t="str">
        <f>"4511809"</f>
        <v>4511809</v>
      </c>
      <c r="E312" t="s">
        <v>325</v>
      </c>
      <c r="F312" t="s">
        <v>223</v>
      </c>
      <c r="G312">
        <v>1.4999999999999999E-2</v>
      </c>
      <c r="H312" t="s">
        <v>11</v>
      </c>
    </row>
    <row r="313" spans="1:8" x14ac:dyDescent="0.25">
      <c r="A313" t="str">
        <f t="shared" si="4"/>
        <v>31-Jul-18</v>
      </c>
      <c r="B313" t="s">
        <v>7</v>
      </c>
      <c r="C313" t="s">
        <v>8</v>
      </c>
      <c r="D313" t="str">
        <f>"5120679"</f>
        <v>5120679</v>
      </c>
      <c r="E313" t="s">
        <v>326</v>
      </c>
      <c r="F313" t="s">
        <v>223</v>
      </c>
      <c r="G313">
        <v>5.3999999999999999E-2</v>
      </c>
      <c r="H313" t="s">
        <v>11</v>
      </c>
    </row>
    <row r="314" spans="1:8" x14ac:dyDescent="0.25">
      <c r="A314" t="str">
        <f t="shared" si="4"/>
        <v>31-Jul-18</v>
      </c>
      <c r="B314" t="s">
        <v>7</v>
      </c>
      <c r="C314" t="s">
        <v>8</v>
      </c>
      <c r="D314" t="str">
        <f>"B0CCH46"</f>
        <v>B0CCH46</v>
      </c>
      <c r="E314" t="s">
        <v>327</v>
      </c>
      <c r="F314" t="s">
        <v>223</v>
      </c>
      <c r="G314">
        <v>2.4E-2</v>
      </c>
      <c r="H314" t="s">
        <v>11</v>
      </c>
    </row>
    <row r="315" spans="1:8" x14ac:dyDescent="0.25">
      <c r="A315" t="str">
        <f t="shared" si="4"/>
        <v>31-Jul-18</v>
      </c>
      <c r="B315" t="s">
        <v>7</v>
      </c>
      <c r="C315" t="s">
        <v>8</v>
      </c>
      <c r="D315" t="str">
        <f>"7792559"</f>
        <v>7792559</v>
      </c>
      <c r="E315" t="s">
        <v>328</v>
      </c>
      <c r="F315" t="s">
        <v>223</v>
      </c>
      <c r="G315">
        <v>4.4999999999999998E-2</v>
      </c>
      <c r="H315" t="s">
        <v>11</v>
      </c>
    </row>
    <row r="316" spans="1:8" x14ac:dyDescent="0.25">
      <c r="A316" t="str">
        <f t="shared" si="4"/>
        <v>31-Jul-18</v>
      </c>
      <c r="B316" t="s">
        <v>7</v>
      </c>
      <c r="C316" t="s">
        <v>8</v>
      </c>
      <c r="D316" t="str">
        <f>"5002465"</f>
        <v>5002465</v>
      </c>
      <c r="E316" t="s">
        <v>329</v>
      </c>
      <c r="F316" t="s">
        <v>223</v>
      </c>
      <c r="G316">
        <v>6.0999999999999999E-2</v>
      </c>
      <c r="H316" t="s">
        <v>11</v>
      </c>
    </row>
    <row r="317" spans="1:8" x14ac:dyDescent="0.25">
      <c r="A317" t="str">
        <f t="shared" si="4"/>
        <v>31-Jul-18</v>
      </c>
      <c r="B317" t="s">
        <v>7</v>
      </c>
      <c r="C317" t="s">
        <v>8</v>
      </c>
      <c r="D317" t="str">
        <f>"5076705"</f>
        <v>5076705</v>
      </c>
      <c r="E317" t="s">
        <v>330</v>
      </c>
      <c r="F317" t="s">
        <v>223</v>
      </c>
      <c r="G317">
        <v>7.4999999999999997E-2</v>
      </c>
      <c r="H317" t="s">
        <v>11</v>
      </c>
    </row>
    <row r="318" spans="1:8" x14ac:dyDescent="0.25">
      <c r="A318" t="str">
        <f t="shared" si="4"/>
        <v>31-Jul-18</v>
      </c>
      <c r="B318" t="s">
        <v>7</v>
      </c>
      <c r="C318" t="s">
        <v>8</v>
      </c>
      <c r="D318" t="str">
        <f>"5253973"</f>
        <v>5253973</v>
      </c>
      <c r="E318" t="s">
        <v>331</v>
      </c>
      <c r="F318" t="s">
        <v>223</v>
      </c>
      <c r="G318">
        <v>4.7E-2</v>
      </c>
      <c r="H318" t="s">
        <v>11</v>
      </c>
    </row>
    <row r="319" spans="1:8" x14ac:dyDescent="0.25">
      <c r="A319" t="str">
        <f t="shared" si="4"/>
        <v>31-Jul-18</v>
      </c>
      <c r="B319" t="s">
        <v>7</v>
      </c>
      <c r="C319" t="s">
        <v>8</v>
      </c>
      <c r="D319" t="str">
        <f>"4554406"</f>
        <v>4554406</v>
      </c>
      <c r="E319" t="s">
        <v>332</v>
      </c>
      <c r="F319" t="s">
        <v>223</v>
      </c>
      <c r="G319">
        <v>8.0000000000000002E-3</v>
      </c>
      <c r="H319" t="s">
        <v>11</v>
      </c>
    </row>
    <row r="320" spans="1:8" x14ac:dyDescent="0.25">
      <c r="A320" t="str">
        <f t="shared" si="4"/>
        <v>31-Jul-18</v>
      </c>
      <c r="B320" t="s">
        <v>7</v>
      </c>
      <c r="C320" t="s">
        <v>8</v>
      </c>
      <c r="D320" t="str">
        <f>"BZ57390"</f>
        <v>BZ57390</v>
      </c>
      <c r="E320" t="s">
        <v>333</v>
      </c>
      <c r="F320" t="s">
        <v>223</v>
      </c>
      <c r="G320">
        <v>0.124</v>
      </c>
      <c r="H320" t="s">
        <v>11</v>
      </c>
    </row>
    <row r="321" spans="1:8" x14ac:dyDescent="0.25">
      <c r="A321" t="str">
        <f t="shared" si="4"/>
        <v>31-Jul-18</v>
      </c>
      <c r="B321" t="s">
        <v>7</v>
      </c>
      <c r="C321" t="s">
        <v>8</v>
      </c>
      <c r="D321" t="str">
        <f>"BFZ61P9"</f>
        <v>BFZ61P9</v>
      </c>
      <c r="E321" t="s">
        <v>334</v>
      </c>
      <c r="F321" t="s">
        <v>223</v>
      </c>
      <c r="G321">
        <v>5.0000000000000001E-3</v>
      </c>
      <c r="H321" t="s">
        <v>11</v>
      </c>
    </row>
    <row r="322" spans="1:8" x14ac:dyDescent="0.25">
      <c r="A322" t="str">
        <f t="shared" ref="A322:A385" si="5">"31-Jul-18"</f>
        <v>31-Jul-18</v>
      </c>
      <c r="B322" t="s">
        <v>7</v>
      </c>
      <c r="C322" t="s">
        <v>8</v>
      </c>
      <c r="D322" t="str">
        <f>"B288C92"</f>
        <v>B288C92</v>
      </c>
      <c r="E322" t="s">
        <v>335</v>
      </c>
      <c r="F322" t="s">
        <v>223</v>
      </c>
      <c r="G322">
        <v>0.185</v>
      </c>
      <c r="H322" t="s">
        <v>11</v>
      </c>
    </row>
    <row r="323" spans="1:8" x14ac:dyDescent="0.25">
      <c r="A323" t="str">
        <f t="shared" si="5"/>
        <v>31-Jul-18</v>
      </c>
      <c r="B323" t="s">
        <v>7</v>
      </c>
      <c r="C323" t="s">
        <v>8</v>
      </c>
      <c r="D323" t="str">
        <f>"7759435"</f>
        <v>7759435</v>
      </c>
      <c r="E323" t="s">
        <v>336</v>
      </c>
      <c r="F323" t="s">
        <v>223</v>
      </c>
      <c r="G323">
        <v>8.0000000000000002E-3</v>
      </c>
      <c r="H323" t="s">
        <v>11</v>
      </c>
    </row>
    <row r="324" spans="1:8" x14ac:dyDescent="0.25">
      <c r="A324" t="str">
        <f t="shared" si="5"/>
        <v>31-Jul-18</v>
      </c>
      <c r="B324" t="s">
        <v>7</v>
      </c>
      <c r="C324" t="s">
        <v>8</v>
      </c>
      <c r="D324" t="str">
        <f>"B011GL4"</f>
        <v>B011GL4</v>
      </c>
      <c r="E324" t="s">
        <v>337</v>
      </c>
      <c r="F324" t="s">
        <v>223</v>
      </c>
      <c r="G324">
        <v>1.4E-2</v>
      </c>
      <c r="H324" t="s">
        <v>11</v>
      </c>
    </row>
    <row r="325" spans="1:8" x14ac:dyDescent="0.25">
      <c r="A325" t="str">
        <f t="shared" si="5"/>
        <v>31-Jul-18</v>
      </c>
      <c r="B325" t="s">
        <v>7</v>
      </c>
      <c r="C325" t="s">
        <v>8</v>
      </c>
      <c r="D325" t="str">
        <f>"BP9DL90"</f>
        <v>BP9DL90</v>
      </c>
      <c r="E325" t="s">
        <v>338</v>
      </c>
      <c r="F325" t="s">
        <v>223</v>
      </c>
      <c r="G325">
        <v>0.14699999999999999</v>
      </c>
      <c r="H325" t="s">
        <v>11</v>
      </c>
    </row>
    <row r="326" spans="1:8" x14ac:dyDescent="0.25">
      <c r="A326" t="str">
        <f t="shared" si="5"/>
        <v>31-Jul-18</v>
      </c>
      <c r="B326" t="s">
        <v>7</v>
      </c>
      <c r="C326" t="s">
        <v>8</v>
      </c>
      <c r="D326" t="str">
        <f>"5889505"</f>
        <v>5889505</v>
      </c>
      <c r="E326" t="s">
        <v>339</v>
      </c>
      <c r="F326" t="s">
        <v>223</v>
      </c>
      <c r="G326">
        <v>5.8000000000000003E-2</v>
      </c>
      <c r="H326" t="s">
        <v>11</v>
      </c>
    </row>
    <row r="327" spans="1:8" x14ac:dyDescent="0.25">
      <c r="A327" t="str">
        <f t="shared" si="5"/>
        <v>31-Jul-18</v>
      </c>
      <c r="B327" t="s">
        <v>7</v>
      </c>
      <c r="C327" t="s">
        <v>8</v>
      </c>
      <c r="D327" t="str">
        <f>"4196897"</f>
        <v>4196897</v>
      </c>
      <c r="E327" t="s">
        <v>340</v>
      </c>
      <c r="F327" t="s">
        <v>223</v>
      </c>
      <c r="G327">
        <v>2.1999999999999999E-2</v>
      </c>
      <c r="H327" t="s">
        <v>11</v>
      </c>
    </row>
    <row r="328" spans="1:8" x14ac:dyDescent="0.25">
      <c r="A328" t="str">
        <f t="shared" si="5"/>
        <v>31-Jul-18</v>
      </c>
      <c r="B328" t="s">
        <v>7</v>
      </c>
      <c r="C328" t="s">
        <v>8</v>
      </c>
      <c r="D328" t="str">
        <f>"BG0SC98"</f>
        <v>BG0SC98</v>
      </c>
      <c r="E328" t="s">
        <v>341</v>
      </c>
      <c r="F328" t="s">
        <v>223</v>
      </c>
      <c r="G328">
        <v>1.2999999999999999E-2</v>
      </c>
      <c r="H328" t="s">
        <v>11</v>
      </c>
    </row>
    <row r="329" spans="1:8" x14ac:dyDescent="0.25">
      <c r="A329" t="str">
        <f t="shared" si="5"/>
        <v>31-Jul-18</v>
      </c>
      <c r="B329" t="s">
        <v>7</v>
      </c>
      <c r="C329" t="s">
        <v>8</v>
      </c>
      <c r="D329" t="str">
        <f>"4076836"</f>
        <v>4076836</v>
      </c>
      <c r="E329" t="s">
        <v>342</v>
      </c>
      <c r="F329" t="s">
        <v>223</v>
      </c>
      <c r="G329">
        <v>0.16400000000000001</v>
      </c>
      <c r="H329" t="s">
        <v>11</v>
      </c>
    </row>
    <row r="330" spans="1:8" x14ac:dyDescent="0.25">
      <c r="A330" t="str">
        <f t="shared" si="5"/>
        <v>31-Jul-18</v>
      </c>
      <c r="B330" t="s">
        <v>7</v>
      </c>
      <c r="C330" t="s">
        <v>8</v>
      </c>
      <c r="D330" t="str">
        <f>"4076847"</f>
        <v>4076847</v>
      </c>
      <c r="E330" t="s">
        <v>343</v>
      </c>
      <c r="F330" t="s">
        <v>223</v>
      </c>
      <c r="G330">
        <v>1.7000000000000001E-2</v>
      </c>
      <c r="H330" t="s">
        <v>11</v>
      </c>
    </row>
    <row r="331" spans="1:8" x14ac:dyDescent="0.25">
      <c r="A331" t="str">
        <f t="shared" si="5"/>
        <v>31-Jul-18</v>
      </c>
      <c r="B331" t="s">
        <v>7</v>
      </c>
      <c r="C331" t="s">
        <v>8</v>
      </c>
      <c r="D331" t="str">
        <f>"B5282K0"</f>
        <v>B5282K0</v>
      </c>
      <c r="E331" t="s">
        <v>344</v>
      </c>
      <c r="F331" t="s">
        <v>223</v>
      </c>
      <c r="G331">
        <v>7.0000000000000001E-3</v>
      </c>
      <c r="H331" t="s">
        <v>11</v>
      </c>
    </row>
    <row r="332" spans="1:8" x14ac:dyDescent="0.25">
      <c r="A332" t="str">
        <f t="shared" si="5"/>
        <v>31-Jul-18</v>
      </c>
      <c r="B332" t="s">
        <v>7</v>
      </c>
      <c r="C332" t="s">
        <v>8</v>
      </c>
      <c r="D332" t="str">
        <f>"B0R7JF1"</f>
        <v>B0R7JF1</v>
      </c>
      <c r="E332" t="s">
        <v>345</v>
      </c>
      <c r="F332" t="s">
        <v>223</v>
      </c>
      <c r="G332">
        <v>2.3E-2</v>
      </c>
      <c r="H332" t="s">
        <v>11</v>
      </c>
    </row>
    <row r="333" spans="1:8" x14ac:dyDescent="0.25">
      <c r="A333" t="str">
        <f t="shared" si="5"/>
        <v>31-Jul-18</v>
      </c>
      <c r="B333" t="s">
        <v>7</v>
      </c>
      <c r="C333" t="s">
        <v>8</v>
      </c>
      <c r="D333" t="str">
        <f>"B06H8J9"</f>
        <v>B06H8J9</v>
      </c>
      <c r="E333" t="s">
        <v>346</v>
      </c>
      <c r="F333" t="s">
        <v>223</v>
      </c>
      <c r="G333">
        <v>0</v>
      </c>
      <c r="H333" t="s">
        <v>11</v>
      </c>
    </row>
    <row r="334" spans="1:8" x14ac:dyDescent="0.25">
      <c r="A334" t="str">
        <f t="shared" si="5"/>
        <v>31-Jul-18</v>
      </c>
      <c r="B334" t="s">
        <v>7</v>
      </c>
      <c r="C334" t="s">
        <v>8</v>
      </c>
      <c r="D334" t="str">
        <f>"7136663"</f>
        <v>7136663</v>
      </c>
      <c r="E334" t="s">
        <v>347</v>
      </c>
      <c r="F334" t="s">
        <v>223</v>
      </c>
      <c r="G334">
        <v>1.2E-2</v>
      </c>
      <c r="H334" t="s">
        <v>11</v>
      </c>
    </row>
    <row r="335" spans="1:8" x14ac:dyDescent="0.25">
      <c r="A335" t="str">
        <f t="shared" si="5"/>
        <v>31-Jul-18</v>
      </c>
      <c r="B335" t="s">
        <v>7</v>
      </c>
      <c r="C335" t="s">
        <v>8</v>
      </c>
      <c r="D335" t="str">
        <f>"B1Y1SQ7"</f>
        <v>B1Y1SQ7</v>
      </c>
      <c r="E335" t="s">
        <v>348</v>
      </c>
      <c r="F335" t="s">
        <v>223</v>
      </c>
      <c r="G335">
        <v>1.7999999999999999E-2</v>
      </c>
      <c r="H335" t="s">
        <v>11</v>
      </c>
    </row>
    <row r="336" spans="1:8" x14ac:dyDescent="0.25">
      <c r="A336" t="str">
        <f t="shared" si="5"/>
        <v>31-Jul-18</v>
      </c>
      <c r="B336" t="s">
        <v>7</v>
      </c>
      <c r="C336" t="s">
        <v>8</v>
      </c>
      <c r="D336" t="str">
        <f>"B54C017"</f>
        <v>B54C017</v>
      </c>
      <c r="E336" t="s">
        <v>349</v>
      </c>
      <c r="F336" t="s">
        <v>223</v>
      </c>
      <c r="G336">
        <v>8.9999999999999993E-3</v>
      </c>
      <c r="H336" t="s">
        <v>11</v>
      </c>
    </row>
    <row r="337" spans="1:8" x14ac:dyDescent="0.25">
      <c r="A337" t="str">
        <f t="shared" si="5"/>
        <v>31-Jul-18</v>
      </c>
      <c r="B337" t="s">
        <v>7</v>
      </c>
      <c r="C337" t="s">
        <v>8</v>
      </c>
      <c r="D337" t="str">
        <f>"4497749"</f>
        <v>4497749</v>
      </c>
      <c r="E337" t="s">
        <v>350</v>
      </c>
      <c r="F337" t="s">
        <v>223</v>
      </c>
      <c r="G337">
        <v>8.3000000000000004E-2</v>
      </c>
      <c r="H337" t="s">
        <v>11</v>
      </c>
    </row>
    <row r="338" spans="1:8" x14ac:dyDescent="0.25">
      <c r="A338" t="str">
        <f t="shared" si="5"/>
        <v>31-Jul-18</v>
      </c>
      <c r="B338" t="s">
        <v>7</v>
      </c>
      <c r="C338" t="s">
        <v>8</v>
      </c>
      <c r="D338" t="str">
        <f>"BB22L96"</f>
        <v>BB22L96</v>
      </c>
      <c r="E338" t="s">
        <v>351</v>
      </c>
      <c r="F338" t="s">
        <v>223</v>
      </c>
      <c r="G338">
        <v>0.01</v>
      </c>
      <c r="H338" t="s">
        <v>11</v>
      </c>
    </row>
    <row r="339" spans="1:8" x14ac:dyDescent="0.25">
      <c r="A339" t="str">
        <f t="shared" si="5"/>
        <v>31-Jul-18</v>
      </c>
      <c r="B339" t="s">
        <v>7</v>
      </c>
      <c r="C339" t="s">
        <v>8</v>
      </c>
      <c r="D339" t="str">
        <f>"5505072"</f>
        <v>5505072</v>
      </c>
      <c r="E339" t="s">
        <v>352</v>
      </c>
      <c r="F339" t="s">
        <v>223</v>
      </c>
      <c r="G339">
        <v>0.16800000000000001</v>
      </c>
      <c r="H339" t="s">
        <v>11</v>
      </c>
    </row>
    <row r="340" spans="1:8" x14ac:dyDescent="0.25">
      <c r="A340" t="str">
        <f t="shared" si="5"/>
        <v>31-Jul-18</v>
      </c>
      <c r="B340" t="s">
        <v>7</v>
      </c>
      <c r="C340" t="s">
        <v>8</v>
      </c>
      <c r="D340" t="str">
        <f>"4519579"</f>
        <v>4519579</v>
      </c>
      <c r="E340" t="s">
        <v>353</v>
      </c>
      <c r="F340" t="s">
        <v>223</v>
      </c>
      <c r="G340">
        <v>5.2999999999999999E-2</v>
      </c>
      <c r="H340" t="s">
        <v>11</v>
      </c>
    </row>
    <row r="341" spans="1:8" x14ac:dyDescent="0.25">
      <c r="A341" t="str">
        <f t="shared" si="5"/>
        <v>31-Jul-18</v>
      </c>
      <c r="B341" t="s">
        <v>7</v>
      </c>
      <c r="C341" t="s">
        <v>8</v>
      </c>
      <c r="D341" t="str">
        <f>"7582556"</f>
        <v>7582556</v>
      </c>
      <c r="E341" t="s">
        <v>354</v>
      </c>
      <c r="F341" t="s">
        <v>223</v>
      </c>
      <c r="G341">
        <v>1.9E-2</v>
      </c>
      <c r="H341" t="s">
        <v>11</v>
      </c>
    </row>
    <row r="342" spans="1:8" x14ac:dyDescent="0.25">
      <c r="A342" t="str">
        <f t="shared" si="5"/>
        <v>31-Jul-18</v>
      </c>
      <c r="B342" t="s">
        <v>7</v>
      </c>
      <c r="C342" t="s">
        <v>8</v>
      </c>
      <c r="D342" t="str">
        <f>"B09M9D2"</f>
        <v>B09M9D2</v>
      </c>
      <c r="E342" t="s">
        <v>355</v>
      </c>
      <c r="F342" t="s">
        <v>223</v>
      </c>
      <c r="G342">
        <v>4.1000000000000002E-2</v>
      </c>
      <c r="H342" t="s">
        <v>11</v>
      </c>
    </row>
    <row r="343" spans="1:8" x14ac:dyDescent="0.25">
      <c r="A343" t="str">
        <f t="shared" si="5"/>
        <v>31-Jul-18</v>
      </c>
      <c r="B343" t="s">
        <v>7</v>
      </c>
      <c r="C343" t="s">
        <v>8</v>
      </c>
      <c r="D343" t="str">
        <f>"BD0Q398"</f>
        <v>BD0Q398</v>
      </c>
      <c r="E343" t="s">
        <v>356</v>
      </c>
      <c r="F343" t="s">
        <v>223</v>
      </c>
      <c r="G343">
        <v>7.0000000000000007E-2</v>
      </c>
      <c r="H343" t="s">
        <v>11</v>
      </c>
    </row>
    <row r="344" spans="1:8" x14ac:dyDescent="0.25">
      <c r="A344" t="str">
        <f t="shared" si="5"/>
        <v>31-Jul-18</v>
      </c>
      <c r="B344" t="s">
        <v>7</v>
      </c>
      <c r="C344" t="s">
        <v>8</v>
      </c>
      <c r="D344" t="str">
        <f>"B0HZL93"</f>
        <v>B0HZL93</v>
      </c>
      <c r="E344" t="s">
        <v>357</v>
      </c>
      <c r="F344" t="s">
        <v>223</v>
      </c>
      <c r="G344">
        <v>8.2000000000000003E-2</v>
      </c>
      <c r="H344" t="s">
        <v>11</v>
      </c>
    </row>
    <row r="345" spans="1:8" x14ac:dyDescent="0.25">
      <c r="A345" t="str">
        <f t="shared" si="5"/>
        <v>31-Jul-18</v>
      </c>
      <c r="B345" t="s">
        <v>7</v>
      </c>
      <c r="C345" t="s">
        <v>8</v>
      </c>
      <c r="D345" t="str">
        <f>"5956078"</f>
        <v>5956078</v>
      </c>
      <c r="E345" t="s">
        <v>358</v>
      </c>
      <c r="F345" t="s">
        <v>223</v>
      </c>
      <c r="G345">
        <v>4.2999999999999997E-2</v>
      </c>
      <c r="H345" t="s">
        <v>11</v>
      </c>
    </row>
    <row r="346" spans="1:8" x14ac:dyDescent="0.25">
      <c r="A346" t="str">
        <f t="shared" si="5"/>
        <v>31-Jul-18</v>
      </c>
      <c r="B346" t="s">
        <v>7</v>
      </c>
      <c r="C346" t="s">
        <v>8</v>
      </c>
      <c r="D346" t="str">
        <f>"5986622"</f>
        <v>5986622</v>
      </c>
      <c r="E346" t="s">
        <v>359</v>
      </c>
      <c r="F346" t="s">
        <v>223</v>
      </c>
      <c r="G346">
        <v>8.6999999999999994E-2</v>
      </c>
      <c r="H346" t="s">
        <v>11</v>
      </c>
    </row>
    <row r="347" spans="1:8" x14ac:dyDescent="0.25">
      <c r="A347" t="str">
        <f t="shared" si="5"/>
        <v>31-Jul-18</v>
      </c>
      <c r="B347" t="s">
        <v>7</v>
      </c>
      <c r="C347" t="s">
        <v>8</v>
      </c>
      <c r="D347" t="str">
        <f>"5809428"</f>
        <v>5809428</v>
      </c>
      <c r="E347" t="s">
        <v>360</v>
      </c>
      <c r="F347" t="s">
        <v>223</v>
      </c>
      <c r="G347">
        <v>1.4E-2</v>
      </c>
      <c r="H347" t="s">
        <v>11</v>
      </c>
    </row>
    <row r="348" spans="1:8" x14ac:dyDescent="0.25">
      <c r="A348" t="str">
        <f t="shared" si="5"/>
        <v>31-Jul-18</v>
      </c>
      <c r="B348" t="s">
        <v>7</v>
      </c>
      <c r="C348" t="s">
        <v>8</v>
      </c>
      <c r="D348" t="str">
        <f>"4057808"</f>
        <v>4057808</v>
      </c>
      <c r="E348" t="s">
        <v>361</v>
      </c>
      <c r="F348" t="s">
        <v>223</v>
      </c>
      <c r="G348">
        <v>0.26700000000000002</v>
      </c>
      <c r="H348" t="s">
        <v>11</v>
      </c>
    </row>
    <row r="349" spans="1:8" x14ac:dyDescent="0.25">
      <c r="A349" t="str">
        <f t="shared" si="5"/>
        <v>31-Jul-18</v>
      </c>
      <c r="B349" t="s">
        <v>7</v>
      </c>
      <c r="C349" t="s">
        <v>8</v>
      </c>
      <c r="D349" t="str">
        <f>"B05M8B7"</f>
        <v>B05M8B7</v>
      </c>
      <c r="E349" t="s">
        <v>362</v>
      </c>
      <c r="F349" t="s">
        <v>223</v>
      </c>
      <c r="G349">
        <v>1.0999999999999999E-2</v>
      </c>
      <c r="H349" t="s">
        <v>11</v>
      </c>
    </row>
    <row r="350" spans="1:8" x14ac:dyDescent="0.25">
      <c r="A350" t="str">
        <f t="shared" si="5"/>
        <v>31-Jul-18</v>
      </c>
      <c r="B350" t="s">
        <v>7</v>
      </c>
      <c r="C350" t="s">
        <v>8</v>
      </c>
      <c r="D350" t="str">
        <f>"4061412"</f>
        <v>4061412</v>
      </c>
      <c r="E350" t="s">
        <v>363</v>
      </c>
      <c r="F350" t="s">
        <v>223</v>
      </c>
      <c r="G350">
        <v>0.20300000000000001</v>
      </c>
      <c r="H350" t="s">
        <v>11</v>
      </c>
    </row>
    <row r="351" spans="1:8" x14ac:dyDescent="0.25">
      <c r="A351" t="str">
        <f t="shared" si="5"/>
        <v>31-Jul-18</v>
      </c>
      <c r="B351" t="s">
        <v>7</v>
      </c>
      <c r="C351" t="s">
        <v>8</v>
      </c>
      <c r="D351" t="str">
        <f>"B11ZRK9"</f>
        <v>B11ZRK9</v>
      </c>
      <c r="E351" t="s">
        <v>364</v>
      </c>
      <c r="F351" t="s">
        <v>223</v>
      </c>
      <c r="G351">
        <v>0.104</v>
      </c>
      <c r="H351" t="s">
        <v>11</v>
      </c>
    </row>
    <row r="352" spans="1:8" x14ac:dyDescent="0.25">
      <c r="A352" t="str">
        <f t="shared" si="5"/>
        <v>31-Jul-18</v>
      </c>
      <c r="B352" t="s">
        <v>7</v>
      </c>
      <c r="C352" t="s">
        <v>8</v>
      </c>
      <c r="D352" t="str">
        <f>"B0DJNG0"</f>
        <v>B0DJNG0</v>
      </c>
      <c r="E352" t="s">
        <v>365</v>
      </c>
      <c r="F352" t="s">
        <v>223</v>
      </c>
      <c r="G352">
        <v>1.7999999999999999E-2</v>
      </c>
      <c r="H352" t="s">
        <v>11</v>
      </c>
    </row>
    <row r="353" spans="1:8" x14ac:dyDescent="0.25">
      <c r="A353" t="str">
        <f t="shared" si="5"/>
        <v>31-Jul-18</v>
      </c>
      <c r="B353" t="s">
        <v>7</v>
      </c>
      <c r="C353" t="s">
        <v>8</v>
      </c>
      <c r="D353" t="str">
        <f>"BF8K6K8"</f>
        <v>BF8K6K8</v>
      </c>
      <c r="E353" t="s">
        <v>366</v>
      </c>
      <c r="F353" t="s">
        <v>223</v>
      </c>
      <c r="G353">
        <v>9.5000000000000001E-2</v>
      </c>
      <c r="H353" t="s">
        <v>11</v>
      </c>
    </row>
    <row r="354" spans="1:8" x14ac:dyDescent="0.25">
      <c r="A354" t="str">
        <f t="shared" si="5"/>
        <v>31-Jul-18</v>
      </c>
      <c r="B354" t="s">
        <v>7</v>
      </c>
      <c r="C354" t="s">
        <v>8</v>
      </c>
      <c r="D354" t="str">
        <f>"4800659"</f>
        <v>4800659</v>
      </c>
      <c r="E354" t="s">
        <v>367</v>
      </c>
      <c r="F354" t="s">
        <v>223</v>
      </c>
      <c r="G354">
        <v>2.3E-2</v>
      </c>
      <c r="H354" t="s">
        <v>11</v>
      </c>
    </row>
    <row r="355" spans="1:8" x14ac:dyDescent="0.25">
      <c r="A355" t="str">
        <f t="shared" si="5"/>
        <v>31-Jul-18</v>
      </c>
      <c r="B355" t="s">
        <v>7</v>
      </c>
      <c r="C355" t="s">
        <v>8</v>
      </c>
      <c r="D355" t="str">
        <f>"5563520"</f>
        <v>5563520</v>
      </c>
      <c r="E355" t="s">
        <v>368</v>
      </c>
      <c r="F355" t="s">
        <v>223</v>
      </c>
      <c r="G355">
        <v>1.0999999999999999E-2</v>
      </c>
      <c r="H355" t="s">
        <v>11</v>
      </c>
    </row>
    <row r="356" spans="1:8" x14ac:dyDescent="0.25">
      <c r="A356" t="str">
        <f t="shared" si="5"/>
        <v>31-Jul-18</v>
      </c>
      <c r="B356" t="s">
        <v>7</v>
      </c>
      <c r="C356" t="s">
        <v>8</v>
      </c>
      <c r="D356" t="str">
        <f>"BD6QT83"</f>
        <v>BD6QT83</v>
      </c>
      <c r="E356" t="s">
        <v>369</v>
      </c>
      <c r="F356" t="s">
        <v>223</v>
      </c>
      <c r="G356">
        <v>8.0000000000000002E-3</v>
      </c>
      <c r="H356" t="s">
        <v>11</v>
      </c>
    </row>
    <row r="357" spans="1:8" x14ac:dyDescent="0.25">
      <c r="A357" t="str">
        <f t="shared" si="5"/>
        <v>31-Jul-18</v>
      </c>
      <c r="B357" t="s">
        <v>7</v>
      </c>
      <c r="C357" t="s">
        <v>8</v>
      </c>
      <c r="D357" t="str">
        <f>"B09DHL9"</f>
        <v>B09DHL9</v>
      </c>
      <c r="E357" t="s">
        <v>370</v>
      </c>
      <c r="F357" t="s">
        <v>223</v>
      </c>
      <c r="G357">
        <v>7.6999999999999999E-2</v>
      </c>
      <c r="H357" t="s">
        <v>11</v>
      </c>
    </row>
    <row r="358" spans="1:8" x14ac:dyDescent="0.25">
      <c r="A358" t="str">
        <f t="shared" si="5"/>
        <v>31-Jul-18</v>
      </c>
      <c r="B358" t="s">
        <v>7</v>
      </c>
      <c r="C358" t="s">
        <v>8</v>
      </c>
      <c r="D358" t="str">
        <f>"B1G40S0"</f>
        <v>B1G40S0</v>
      </c>
      <c r="E358" t="s">
        <v>371</v>
      </c>
      <c r="F358" t="s">
        <v>223</v>
      </c>
      <c r="G358">
        <v>6.0000000000000001E-3</v>
      </c>
      <c r="H358" t="s">
        <v>11</v>
      </c>
    </row>
    <row r="359" spans="1:8" x14ac:dyDescent="0.25">
      <c r="A359" t="str">
        <f t="shared" si="5"/>
        <v>31-Jul-18</v>
      </c>
      <c r="B359" t="s">
        <v>7</v>
      </c>
      <c r="C359" t="s">
        <v>8</v>
      </c>
      <c r="D359" t="str">
        <f>"4574813"</f>
        <v>4574813</v>
      </c>
      <c r="E359" t="s">
        <v>372</v>
      </c>
      <c r="F359" t="s">
        <v>223</v>
      </c>
      <c r="G359">
        <v>8.0000000000000002E-3</v>
      </c>
      <c r="H359" t="s">
        <v>11</v>
      </c>
    </row>
    <row r="360" spans="1:8" x14ac:dyDescent="0.25">
      <c r="A360" t="str">
        <f t="shared" si="5"/>
        <v>31-Jul-18</v>
      </c>
      <c r="B360" t="s">
        <v>7</v>
      </c>
      <c r="C360" t="s">
        <v>8</v>
      </c>
      <c r="D360" t="str">
        <f>"4741844"</f>
        <v>4741844</v>
      </c>
      <c r="E360" t="s">
        <v>373</v>
      </c>
      <c r="F360" t="s">
        <v>223</v>
      </c>
      <c r="G360">
        <v>6.5000000000000002E-2</v>
      </c>
      <c r="H360" t="s">
        <v>11</v>
      </c>
    </row>
    <row r="361" spans="1:8" x14ac:dyDescent="0.25">
      <c r="A361" t="str">
        <f t="shared" si="5"/>
        <v>31-Jul-18</v>
      </c>
      <c r="B361" t="s">
        <v>7</v>
      </c>
      <c r="C361" t="s">
        <v>8</v>
      </c>
      <c r="D361" t="str">
        <f>"5713422"</f>
        <v>5713422</v>
      </c>
      <c r="E361" t="s">
        <v>374</v>
      </c>
      <c r="F361" t="s">
        <v>223</v>
      </c>
      <c r="G361">
        <v>1.7000000000000001E-2</v>
      </c>
      <c r="H361" t="s">
        <v>11</v>
      </c>
    </row>
    <row r="362" spans="1:8" x14ac:dyDescent="0.25">
      <c r="A362" t="str">
        <f t="shared" si="5"/>
        <v>31-Jul-18</v>
      </c>
      <c r="B362" t="s">
        <v>7</v>
      </c>
      <c r="C362" t="s">
        <v>8</v>
      </c>
      <c r="D362" t="str">
        <f>"BGLP232"</f>
        <v>BGLP232</v>
      </c>
      <c r="E362" t="s">
        <v>375</v>
      </c>
      <c r="F362" t="s">
        <v>223</v>
      </c>
      <c r="G362">
        <v>1.6E-2</v>
      </c>
      <c r="H362" t="s">
        <v>11</v>
      </c>
    </row>
    <row r="363" spans="1:8" x14ac:dyDescent="0.25">
      <c r="A363" t="str">
        <f t="shared" si="5"/>
        <v>31-Jul-18</v>
      </c>
      <c r="B363" t="s">
        <v>7</v>
      </c>
      <c r="C363" t="s">
        <v>8</v>
      </c>
      <c r="D363" t="str">
        <f>"5294121"</f>
        <v>5294121</v>
      </c>
      <c r="E363" t="s">
        <v>376</v>
      </c>
      <c r="F363" t="s">
        <v>223</v>
      </c>
      <c r="G363">
        <v>0.14099999999999999</v>
      </c>
      <c r="H363" t="s">
        <v>11</v>
      </c>
    </row>
    <row r="364" spans="1:8" x14ac:dyDescent="0.25">
      <c r="A364" t="str">
        <f t="shared" si="5"/>
        <v>31-Jul-18</v>
      </c>
      <c r="B364" t="s">
        <v>7</v>
      </c>
      <c r="C364" t="s">
        <v>8</v>
      </c>
      <c r="D364" t="str">
        <f>"BNG8PQ9"</f>
        <v>BNG8PQ9</v>
      </c>
      <c r="E364" t="s">
        <v>377</v>
      </c>
      <c r="F364" t="s">
        <v>223</v>
      </c>
      <c r="G364">
        <v>2.4E-2</v>
      </c>
      <c r="H364" t="s">
        <v>11</v>
      </c>
    </row>
    <row r="365" spans="1:8" x14ac:dyDescent="0.25">
      <c r="A365" t="str">
        <f t="shared" si="5"/>
        <v>31-Jul-18</v>
      </c>
      <c r="B365" t="s">
        <v>7</v>
      </c>
      <c r="C365" t="s">
        <v>8</v>
      </c>
      <c r="D365" t="str">
        <f>"B1HDJL2"</f>
        <v>B1HDJL2</v>
      </c>
      <c r="E365" t="s">
        <v>378</v>
      </c>
      <c r="F365" t="s">
        <v>223</v>
      </c>
      <c r="G365">
        <v>2.8000000000000001E-2</v>
      </c>
      <c r="H365" t="s">
        <v>11</v>
      </c>
    </row>
    <row r="366" spans="1:8" x14ac:dyDescent="0.25">
      <c r="A366" t="str">
        <f t="shared" si="5"/>
        <v>31-Jul-18</v>
      </c>
      <c r="B366" t="s">
        <v>7</v>
      </c>
      <c r="C366" t="s">
        <v>8</v>
      </c>
      <c r="D366" t="str">
        <f>"5650422"</f>
        <v>5650422</v>
      </c>
      <c r="E366" t="s">
        <v>379</v>
      </c>
      <c r="F366" t="s">
        <v>223</v>
      </c>
      <c r="G366">
        <v>3.9E-2</v>
      </c>
      <c r="H366" t="s">
        <v>11</v>
      </c>
    </row>
    <row r="367" spans="1:8" x14ac:dyDescent="0.25">
      <c r="A367" t="str">
        <f t="shared" si="5"/>
        <v>31-Jul-18</v>
      </c>
      <c r="B367" t="s">
        <v>7</v>
      </c>
      <c r="C367" t="s">
        <v>8</v>
      </c>
      <c r="D367" t="str">
        <f>"B06YV46"</f>
        <v>B06YV46</v>
      </c>
      <c r="E367" t="s">
        <v>380</v>
      </c>
      <c r="F367" t="s">
        <v>223</v>
      </c>
      <c r="G367">
        <v>4.3999999999999997E-2</v>
      </c>
      <c r="H367" t="s">
        <v>11</v>
      </c>
    </row>
    <row r="368" spans="1:8" x14ac:dyDescent="0.25">
      <c r="A368" t="str">
        <f t="shared" si="5"/>
        <v>31-Jul-18</v>
      </c>
      <c r="B368" t="s">
        <v>7</v>
      </c>
      <c r="C368" t="s">
        <v>8</v>
      </c>
      <c r="D368" t="str">
        <f>"5902941"</f>
        <v>5902941</v>
      </c>
      <c r="E368" t="s">
        <v>381</v>
      </c>
      <c r="F368" t="s">
        <v>223</v>
      </c>
      <c r="G368">
        <v>0.128</v>
      </c>
      <c r="H368" t="s">
        <v>11</v>
      </c>
    </row>
    <row r="369" spans="1:8" x14ac:dyDescent="0.25">
      <c r="A369" t="str">
        <f t="shared" si="5"/>
        <v>31-Jul-18</v>
      </c>
      <c r="B369" t="s">
        <v>7</v>
      </c>
      <c r="C369" t="s">
        <v>8</v>
      </c>
      <c r="D369" t="str">
        <f>"B07G378"</f>
        <v>B07G378</v>
      </c>
      <c r="E369" t="s">
        <v>382</v>
      </c>
      <c r="F369" t="s">
        <v>223</v>
      </c>
      <c r="G369">
        <v>8.9999999999999993E-3</v>
      </c>
      <c r="H369" t="s">
        <v>11</v>
      </c>
    </row>
    <row r="370" spans="1:8" x14ac:dyDescent="0.25">
      <c r="A370" t="str">
        <f t="shared" si="5"/>
        <v>31-Jul-18</v>
      </c>
      <c r="B370" t="s">
        <v>7</v>
      </c>
      <c r="C370" t="s">
        <v>8</v>
      </c>
      <c r="D370" t="str">
        <f>"4651459"</f>
        <v>4651459</v>
      </c>
      <c r="E370" t="s">
        <v>383</v>
      </c>
      <c r="F370" t="s">
        <v>223</v>
      </c>
      <c r="G370">
        <v>3.5999999999999997E-2</v>
      </c>
      <c r="H370" t="s">
        <v>11</v>
      </c>
    </row>
    <row r="371" spans="1:8" x14ac:dyDescent="0.25">
      <c r="A371" t="str">
        <f t="shared" si="5"/>
        <v>31-Jul-18</v>
      </c>
      <c r="B371" t="s">
        <v>7</v>
      </c>
      <c r="C371" t="s">
        <v>8</v>
      </c>
      <c r="D371" t="str">
        <f>"B923935"</f>
        <v>B923935</v>
      </c>
      <c r="E371" t="s">
        <v>384</v>
      </c>
      <c r="F371" t="s">
        <v>223</v>
      </c>
      <c r="G371">
        <v>1.9E-2</v>
      </c>
      <c r="H371" t="s">
        <v>11</v>
      </c>
    </row>
    <row r="372" spans="1:8" x14ac:dyDescent="0.25">
      <c r="A372" t="str">
        <f t="shared" si="5"/>
        <v>31-Jul-18</v>
      </c>
      <c r="B372" t="s">
        <v>7</v>
      </c>
      <c r="C372" t="s">
        <v>8</v>
      </c>
      <c r="D372" t="str">
        <f>"5176177"</f>
        <v>5176177</v>
      </c>
      <c r="E372" t="s">
        <v>385</v>
      </c>
      <c r="F372" t="s">
        <v>223</v>
      </c>
      <c r="G372">
        <v>0.152</v>
      </c>
      <c r="H372" t="s">
        <v>11</v>
      </c>
    </row>
    <row r="373" spans="1:8" x14ac:dyDescent="0.25">
      <c r="A373" t="str">
        <f t="shared" si="5"/>
        <v>31-Jul-18</v>
      </c>
      <c r="B373" t="s">
        <v>7</v>
      </c>
      <c r="C373" t="s">
        <v>8</v>
      </c>
      <c r="D373" t="str">
        <f>"B17NY40"</f>
        <v>B17NY40</v>
      </c>
      <c r="E373" t="s">
        <v>386</v>
      </c>
      <c r="F373" t="s">
        <v>223</v>
      </c>
      <c r="G373">
        <v>1.9E-2</v>
      </c>
      <c r="H373" t="s">
        <v>11</v>
      </c>
    </row>
    <row r="374" spans="1:8" x14ac:dyDescent="0.25">
      <c r="A374" t="str">
        <f t="shared" si="5"/>
        <v>31-Jul-18</v>
      </c>
      <c r="B374" t="s">
        <v>7</v>
      </c>
      <c r="C374" t="s">
        <v>8</v>
      </c>
      <c r="D374" t="str">
        <f>"BWT6H89"</f>
        <v>BWT6H89</v>
      </c>
      <c r="E374" t="s">
        <v>387</v>
      </c>
      <c r="F374" t="s">
        <v>223</v>
      </c>
      <c r="G374">
        <v>3.5000000000000003E-2</v>
      </c>
      <c r="H374" t="s">
        <v>11</v>
      </c>
    </row>
    <row r="375" spans="1:8" x14ac:dyDescent="0.25">
      <c r="A375" t="str">
        <f t="shared" si="5"/>
        <v>31-Jul-18</v>
      </c>
      <c r="B375" t="s">
        <v>7</v>
      </c>
      <c r="C375" t="s">
        <v>8</v>
      </c>
      <c r="D375" t="str">
        <f>"4682329"</f>
        <v>4682329</v>
      </c>
      <c r="E375" t="s">
        <v>388</v>
      </c>
      <c r="F375" t="s">
        <v>223</v>
      </c>
      <c r="G375">
        <v>0.14899999999999999</v>
      </c>
      <c r="H375" t="s">
        <v>11</v>
      </c>
    </row>
    <row r="376" spans="1:8" x14ac:dyDescent="0.25">
      <c r="A376" t="str">
        <f t="shared" si="5"/>
        <v>31-Jul-18</v>
      </c>
      <c r="B376" t="s">
        <v>7</v>
      </c>
      <c r="C376" t="s">
        <v>8</v>
      </c>
      <c r="D376" t="str">
        <f>"7103526"</f>
        <v>7103526</v>
      </c>
      <c r="E376" t="s">
        <v>389</v>
      </c>
      <c r="F376" t="s">
        <v>223</v>
      </c>
      <c r="G376">
        <v>7.9000000000000001E-2</v>
      </c>
      <c r="H376" t="s">
        <v>11</v>
      </c>
    </row>
    <row r="377" spans="1:8" x14ac:dyDescent="0.25">
      <c r="A377" t="str">
        <f t="shared" si="5"/>
        <v>31-Jul-18</v>
      </c>
      <c r="B377" t="s">
        <v>7</v>
      </c>
      <c r="C377" t="s">
        <v>8</v>
      </c>
      <c r="D377" t="str">
        <f>"BZ5ZHK3"</f>
        <v>BZ5ZHK3</v>
      </c>
      <c r="E377" t="s">
        <v>390</v>
      </c>
      <c r="F377" t="s">
        <v>223</v>
      </c>
      <c r="G377">
        <v>7.0000000000000001E-3</v>
      </c>
      <c r="H377" t="s">
        <v>11</v>
      </c>
    </row>
    <row r="378" spans="1:8" x14ac:dyDescent="0.25">
      <c r="A378" t="str">
        <f t="shared" si="5"/>
        <v>31-Jul-18</v>
      </c>
      <c r="B378" t="s">
        <v>7</v>
      </c>
      <c r="C378" t="s">
        <v>8</v>
      </c>
      <c r="D378" t="str">
        <f>"BYYN701"</f>
        <v>BYYN701</v>
      </c>
      <c r="E378" t="s">
        <v>391</v>
      </c>
      <c r="F378" t="s">
        <v>223</v>
      </c>
      <c r="G378">
        <v>8.0000000000000002E-3</v>
      </c>
      <c r="H378" t="s">
        <v>11</v>
      </c>
    </row>
    <row r="379" spans="1:8" x14ac:dyDescent="0.25">
      <c r="A379" t="str">
        <f t="shared" si="5"/>
        <v>31-Jul-18</v>
      </c>
      <c r="B379" t="s">
        <v>7</v>
      </c>
      <c r="C379" t="s">
        <v>8</v>
      </c>
      <c r="D379" t="str">
        <f>"BCZM1B2"</f>
        <v>BCZM1B2</v>
      </c>
      <c r="E379" t="s">
        <v>392</v>
      </c>
      <c r="F379" t="s">
        <v>223</v>
      </c>
      <c r="G379">
        <v>2.7E-2</v>
      </c>
      <c r="H379" t="s">
        <v>11</v>
      </c>
    </row>
    <row r="380" spans="1:8" x14ac:dyDescent="0.25">
      <c r="A380" t="str">
        <f t="shared" si="5"/>
        <v>31-Jul-18</v>
      </c>
      <c r="B380" t="s">
        <v>7</v>
      </c>
      <c r="C380" t="s">
        <v>8</v>
      </c>
      <c r="D380" t="str">
        <f>"B00D9P6"</f>
        <v>B00D9P6</v>
      </c>
      <c r="E380" t="s">
        <v>393</v>
      </c>
      <c r="F380" t="s">
        <v>223</v>
      </c>
      <c r="G380">
        <v>7.0000000000000001E-3</v>
      </c>
      <c r="H380" t="s">
        <v>11</v>
      </c>
    </row>
    <row r="381" spans="1:8" x14ac:dyDescent="0.25">
      <c r="A381" t="str">
        <f t="shared" si="5"/>
        <v>31-Jul-18</v>
      </c>
      <c r="B381" t="s">
        <v>7</v>
      </c>
      <c r="C381" t="s">
        <v>8</v>
      </c>
      <c r="D381" t="str">
        <f>"B1W4V69"</f>
        <v>B1W4V69</v>
      </c>
      <c r="E381" t="s">
        <v>394</v>
      </c>
      <c r="F381" t="s">
        <v>223</v>
      </c>
      <c r="G381">
        <v>1.0999999999999999E-2</v>
      </c>
      <c r="H381" t="s">
        <v>11</v>
      </c>
    </row>
    <row r="382" spans="1:8" x14ac:dyDescent="0.25">
      <c r="A382" t="str">
        <f t="shared" si="5"/>
        <v>31-Jul-18</v>
      </c>
      <c r="B382" t="s">
        <v>7</v>
      </c>
      <c r="C382" t="s">
        <v>8</v>
      </c>
      <c r="D382" t="str">
        <f>"4380429"</f>
        <v>4380429</v>
      </c>
      <c r="E382" t="s">
        <v>395</v>
      </c>
      <c r="F382" t="s">
        <v>223</v>
      </c>
      <c r="G382">
        <v>3.2000000000000001E-2</v>
      </c>
      <c r="H382" t="s">
        <v>11</v>
      </c>
    </row>
    <row r="383" spans="1:8" x14ac:dyDescent="0.25">
      <c r="A383" t="str">
        <f t="shared" si="5"/>
        <v>31-Jul-18</v>
      </c>
      <c r="B383" t="s">
        <v>7</v>
      </c>
      <c r="C383" t="s">
        <v>8</v>
      </c>
      <c r="D383" t="str">
        <f>"BYXS699"</f>
        <v>BYXS699</v>
      </c>
      <c r="E383" t="s">
        <v>396</v>
      </c>
      <c r="F383" t="s">
        <v>223</v>
      </c>
      <c r="G383">
        <v>1.7999999999999999E-2</v>
      </c>
      <c r="H383" t="s">
        <v>11</v>
      </c>
    </row>
    <row r="384" spans="1:8" x14ac:dyDescent="0.25">
      <c r="A384" t="str">
        <f t="shared" si="5"/>
        <v>31-Jul-18</v>
      </c>
      <c r="B384" t="s">
        <v>7</v>
      </c>
      <c r="C384" t="s">
        <v>8</v>
      </c>
      <c r="D384" t="str">
        <f>"4148810"</f>
        <v>4148810</v>
      </c>
      <c r="E384" t="s">
        <v>397</v>
      </c>
      <c r="F384" t="s">
        <v>223</v>
      </c>
      <c r="G384">
        <v>9.2999999999999999E-2</v>
      </c>
      <c r="H384" t="s">
        <v>11</v>
      </c>
    </row>
    <row r="385" spans="1:8" x14ac:dyDescent="0.25">
      <c r="A385" t="str">
        <f t="shared" si="5"/>
        <v>31-Jul-18</v>
      </c>
      <c r="B385" t="s">
        <v>7</v>
      </c>
      <c r="C385" t="s">
        <v>8</v>
      </c>
      <c r="D385" t="str">
        <f>"B1BK209"</f>
        <v>B1BK209</v>
      </c>
      <c r="E385" t="s">
        <v>398</v>
      </c>
      <c r="F385" t="s">
        <v>223</v>
      </c>
      <c r="G385">
        <v>6.0000000000000001E-3</v>
      </c>
      <c r="H385" t="s">
        <v>11</v>
      </c>
    </row>
    <row r="386" spans="1:8" x14ac:dyDescent="0.25">
      <c r="A386" t="str">
        <f t="shared" ref="A386:A449" si="6">"31-Jul-18"</f>
        <v>31-Jul-18</v>
      </c>
      <c r="B386" t="s">
        <v>7</v>
      </c>
      <c r="C386" t="s">
        <v>8</v>
      </c>
      <c r="D386" t="str">
        <f>"4768962"</f>
        <v>4768962</v>
      </c>
      <c r="E386" t="s">
        <v>399</v>
      </c>
      <c r="F386" t="s">
        <v>223</v>
      </c>
      <c r="G386">
        <v>5.3999999999999999E-2</v>
      </c>
      <c r="H386" t="s">
        <v>11</v>
      </c>
    </row>
    <row r="387" spans="1:8" x14ac:dyDescent="0.25">
      <c r="A387" t="str">
        <f t="shared" si="6"/>
        <v>31-Jul-18</v>
      </c>
      <c r="B387" t="s">
        <v>7</v>
      </c>
      <c r="C387" t="s">
        <v>8</v>
      </c>
      <c r="D387" t="str">
        <f>"B0704T9"</f>
        <v>B0704T9</v>
      </c>
      <c r="E387" t="s">
        <v>400</v>
      </c>
      <c r="F387" t="s">
        <v>223</v>
      </c>
      <c r="G387">
        <v>8.0000000000000002E-3</v>
      </c>
      <c r="H387" t="s">
        <v>11</v>
      </c>
    </row>
    <row r="388" spans="1:8" x14ac:dyDescent="0.25">
      <c r="A388" t="str">
        <f t="shared" si="6"/>
        <v>31-Jul-18</v>
      </c>
      <c r="B388" t="s">
        <v>7</v>
      </c>
      <c r="C388" t="s">
        <v>8</v>
      </c>
      <c r="D388" t="str">
        <f>"5228658"</f>
        <v>5228658</v>
      </c>
      <c r="E388" t="s">
        <v>401</v>
      </c>
      <c r="F388" t="s">
        <v>223</v>
      </c>
      <c r="G388">
        <v>3.4000000000000002E-2</v>
      </c>
      <c r="H388" t="s">
        <v>11</v>
      </c>
    </row>
    <row r="389" spans="1:8" x14ac:dyDescent="0.25">
      <c r="A389" t="str">
        <f t="shared" si="6"/>
        <v>31-Jul-18</v>
      </c>
      <c r="B389" t="s">
        <v>7</v>
      </c>
      <c r="C389" t="s">
        <v>8</v>
      </c>
      <c r="D389" t="str">
        <f>"B07DRZ5"</f>
        <v>B07DRZ5</v>
      </c>
      <c r="E389" t="s">
        <v>402</v>
      </c>
      <c r="F389" t="s">
        <v>223</v>
      </c>
      <c r="G389">
        <v>1.6E-2</v>
      </c>
      <c r="H389" t="s">
        <v>11</v>
      </c>
    </row>
    <row r="390" spans="1:8" x14ac:dyDescent="0.25">
      <c r="A390" t="str">
        <f t="shared" si="6"/>
        <v>31-Jul-18</v>
      </c>
      <c r="B390" t="s">
        <v>7</v>
      </c>
      <c r="C390" t="s">
        <v>8</v>
      </c>
      <c r="D390" t="str">
        <f>"BD6FXN3"</f>
        <v>BD6FXN3</v>
      </c>
      <c r="E390" t="s">
        <v>403</v>
      </c>
      <c r="F390" t="s">
        <v>223</v>
      </c>
      <c r="G390">
        <v>3.3000000000000002E-2</v>
      </c>
      <c r="H390" t="s">
        <v>11</v>
      </c>
    </row>
    <row r="391" spans="1:8" x14ac:dyDescent="0.25">
      <c r="A391" t="str">
        <f t="shared" si="6"/>
        <v>31-Jul-18</v>
      </c>
      <c r="B391" t="s">
        <v>7</v>
      </c>
      <c r="C391" t="s">
        <v>8</v>
      </c>
      <c r="D391" t="str">
        <f>"4741714"</f>
        <v>4741714</v>
      </c>
      <c r="E391" t="s">
        <v>404</v>
      </c>
      <c r="F391" t="s">
        <v>223</v>
      </c>
      <c r="G391">
        <v>5.0000000000000001E-3</v>
      </c>
      <c r="H391" t="s">
        <v>11</v>
      </c>
    </row>
    <row r="392" spans="1:8" x14ac:dyDescent="0.25">
      <c r="A392" t="str">
        <f t="shared" si="6"/>
        <v>31-Jul-18</v>
      </c>
      <c r="B392" t="s">
        <v>7</v>
      </c>
      <c r="C392" t="s">
        <v>8</v>
      </c>
      <c r="D392" t="str">
        <f>"4712798"</f>
        <v>4712798</v>
      </c>
      <c r="E392" t="s">
        <v>405</v>
      </c>
      <c r="F392" t="s">
        <v>223</v>
      </c>
      <c r="G392">
        <v>7.0000000000000007E-2</v>
      </c>
      <c r="H392" t="s">
        <v>11</v>
      </c>
    </row>
    <row r="393" spans="1:8" x14ac:dyDescent="0.25">
      <c r="A393" t="str">
        <f t="shared" si="6"/>
        <v>31-Jul-18</v>
      </c>
      <c r="B393" t="s">
        <v>7</v>
      </c>
      <c r="C393" t="s">
        <v>8</v>
      </c>
      <c r="D393" t="str">
        <f>"5669354"</f>
        <v>5669354</v>
      </c>
      <c r="E393" t="s">
        <v>406</v>
      </c>
      <c r="F393" t="s">
        <v>223</v>
      </c>
      <c r="G393">
        <v>0.105</v>
      </c>
      <c r="H393" t="s">
        <v>11</v>
      </c>
    </row>
    <row r="394" spans="1:8" x14ac:dyDescent="0.25">
      <c r="A394" t="str">
        <f t="shared" si="6"/>
        <v>31-Jul-18</v>
      </c>
      <c r="B394" t="s">
        <v>7</v>
      </c>
      <c r="C394" t="s">
        <v>8</v>
      </c>
      <c r="D394" t="str">
        <f>"B1VP0K0"</f>
        <v>B1VP0K0</v>
      </c>
      <c r="E394" t="s">
        <v>407</v>
      </c>
      <c r="F394" t="s">
        <v>223</v>
      </c>
      <c r="G394">
        <v>2.5000000000000001E-2</v>
      </c>
      <c r="H394" t="s">
        <v>11</v>
      </c>
    </row>
    <row r="395" spans="1:8" x14ac:dyDescent="0.25">
      <c r="A395" t="str">
        <f t="shared" si="6"/>
        <v>31-Jul-18</v>
      </c>
      <c r="B395" t="s">
        <v>7</v>
      </c>
      <c r="C395" t="s">
        <v>8</v>
      </c>
      <c r="D395" t="str">
        <f>"BYTBXV3"</f>
        <v>BYTBXV3</v>
      </c>
      <c r="E395" t="s">
        <v>408</v>
      </c>
      <c r="F395" t="s">
        <v>223</v>
      </c>
      <c r="G395">
        <v>4.0000000000000001E-3</v>
      </c>
      <c r="H395" t="s">
        <v>11</v>
      </c>
    </row>
    <row r="396" spans="1:8" x14ac:dyDescent="0.25">
      <c r="A396" t="str">
        <f t="shared" si="6"/>
        <v>31-Jul-18</v>
      </c>
      <c r="B396" t="s">
        <v>7</v>
      </c>
      <c r="C396" t="s">
        <v>8</v>
      </c>
      <c r="D396" t="str">
        <f>"4846288"</f>
        <v>4846288</v>
      </c>
      <c r="E396" t="s">
        <v>409</v>
      </c>
      <c r="F396" t="s">
        <v>223</v>
      </c>
      <c r="G396">
        <v>0.48099999999999998</v>
      </c>
      <c r="H396" t="s">
        <v>11</v>
      </c>
    </row>
    <row r="397" spans="1:8" x14ac:dyDescent="0.25">
      <c r="A397" t="str">
        <f t="shared" si="6"/>
        <v>31-Jul-18</v>
      </c>
      <c r="B397" t="s">
        <v>7</v>
      </c>
      <c r="C397" t="s">
        <v>8</v>
      </c>
      <c r="D397" t="str">
        <f>"B1LB9P6"</f>
        <v>B1LB9P6</v>
      </c>
      <c r="E397" t="s">
        <v>410</v>
      </c>
      <c r="F397" t="s">
        <v>223</v>
      </c>
      <c r="G397">
        <v>8.9999999999999993E-3</v>
      </c>
      <c r="H397" t="s">
        <v>11</v>
      </c>
    </row>
    <row r="398" spans="1:8" x14ac:dyDescent="0.25">
      <c r="A398" t="str">
        <f t="shared" si="6"/>
        <v>31-Jul-18</v>
      </c>
      <c r="B398" t="s">
        <v>7</v>
      </c>
      <c r="C398" t="s">
        <v>8</v>
      </c>
      <c r="D398" t="str">
        <f>"4792132"</f>
        <v>4792132</v>
      </c>
      <c r="E398" t="s">
        <v>411</v>
      </c>
      <c r="F398" t="s">
        <v>223</v>
      </c>
      <c r="G398">
        <v>8.9999999999999993E-3</v>
      </c>
      <c r="H398" t="s">
        <v>11</v>
      </c>
    </row>
    <row r="399" spans="1:8" x14ac:dyDescent="0.25">
      <c r="A399" t="str">
        <f t="shared" si="6"/>
        <v>31-Jul-18</v>
      </c>
      <c r="B399" t="s">
        <v>7</v>
      </c>
      <c r="C399" t="s">
        <v>8</v>
      </c>
      <c r="D399" t="str">
        <f>"B00ZQQ2"</f>
        <v>B00ZQQ2</v>
      </c>
      <c r="E399" t="s">
        <v>412</v>
      </c>
      <c r="F399" t="s">
        <v>223</v>
      </c>
      <c r="G399">
        <v>0.03</v>
      </c>
      <c r="H399" t="s">
        <v>11</v>
      </c>
    </row>
    <row r="400" spans="1:8" x14ac:dyDescent="0.25">
      <c r="A400" t="str">
        <f t="shared" si="6"/>
        <v>31-Jul-18</v>
      </c>
      <c r="B400" t="s">
        <v>7</v>
      </c>
      <c r="C400" t="s">
        <v>8</v>
      </c>
      <c r="D400" t="str">
        <f>"5962332"</f>
        <v>5962332</v>
      </c>
      <c r="E400" t="s">
        <v>413</v>
      </c>
      <c r="F400" t="s">
        <v>223</v>
      </c>
      <c r="G400">
        <v>6.8000000000000005E-2</v>
      </c>
      <c r="H400" t="s">
        <v>11</v>
      </c>
    </row>
    <row r="401" spans="1:8" x14ac:dyDescent="0.25">
      <c r="A401" t="str">
        <f t="shared" si="6"/>
        <v>31-Jul-18</v>
      </c>
      <c r="B401" t="s">
        <v>7</v>
      </c>
      <c r="C401" t="s">
        <v>8</v>
      </c>
      <c r="D401" t="str">
        <f>"5226038"</f>
        <v>5226038</v>
      </c>
      <c r="E401" t="s">
        <v>414</v>
      </c>
      <c r="F401" t="s">
        <v>223</v>
      </c>
      <c r="G401">
        <v>5.7000000000000002E-2</v>
      </c>
      <c r="H401" t="s">
        <v>11</v>
      </c>
    </row>
    <row r="402" spans="1:8" x14ac:dyDescent="0.25">
      <c r="A402" t="str">
        <f t="shared" si="6"/>
        <v>31-Jul-18</v>
      </c>
      <c r="B402" t="s">
        <v>7</v>
      </c>
      <c r="C402" t="s">
        <v>8</v>
      </c>
      <c r="D402" t="str">
        <f>"5671735"</f>
        <v>5671735</v>
      </c>
      <c r="E402" t="s">
        <v>415</v>
      </c>
      <c r="F402" t="s">
        <v>223</v>
      </c>
      <c r="G402">
        <v>0.23499999999999999</v>
      </c>
      <c r="H402" t="s">
        <v>11</v>
      </c>
    </row>
    <row r="403" spans="1:8" x14ac:dyDescent="0.25">
      <c r="A403" t="str">
        <f t="shared" si="6"/>
        <v>31-Jul-18</v>
      </c>
      <c r="B403" t="s">
        <v>7</v>
      </c>
      <c r="C403" t="s">
        <v>8</v>
      </c>
      <c r="D403" t="str">
        <f>"5843329"</f>
        <v>5843329</v>
      </c>
      <c r="E403" t="s">
        <v>416</v>
      </c>
      <c r="F403" t="s">
        <v>223</v>
      </c>
      <c r="G403">
        <v>0.01</v>
      </c>
      <c r="H403" t="s">
        <v>11</v>
      </c>
    </row>
    <row r="404" spans="1:8" x14ac:dyDescent="0.25">
      <c r="A404" t="str">
        <f t="shared" si="6"/>
        <v>31-Jul-18</v>
      </c>
      <c r="B404" t="s">
        <v>7</v>
      </c>
      <c r="C404" t="s">
        <v>8</v>
      </c>
      <c r="D404" t="str">
        <f>"BZ1DNL4"</f>
        <v>BZ1DNL4</v>
      </c>
      <c r="E404" t="s">
        <v>417</v>
      </c>
      <c r="F404" t="s">
        <v>223</v>
      </c>
      <c r="G404">
        <v>1E-3</v>
      </c>
      <c r="H404" t="s">
        <v>11</v>
      </c>
    </row>
    <row r="405" spans="1:8" x14ac:dyDescent="0.25">
      <c r="A405" t="str">
        <f t="shared" si="6"/>
        <v>31-Jul-18</v>
      </c>
      <c r="B405" t="s">
        <v>7</v>
      </c>
      <c r="C405" t="s">
        <v>8</v>
      </c>
      <c r="D405" t="str">
        <f>"4834108"</f>
        <v>4834108</v>
      </c>
      <c r="E405" t="s">
        <v>418</v>
      </c>
      <c r="F405" t="s">
        <v>223</v>
      </c>
      <c r="G405">
        <v>0.189</v>
      </c>
      <c r="H405" t="s">
        <v>11</v>
      </c>
    </row>
    <row r="406" spans="1:8" x14ac:dyDescent="0.25">
      <c r="A406" t="str">
        <f t="shared" si="6"/>
        <v>31-Jul-18</v>
      </c>
      <c r="B406" t="s">
        <v>7</v>
      </c>
      <c r="C406" t="s">
        <v>8</v>
      </c>
      <c r="D406" t="str">
        <f>"5727973"</f>
        <v>5727973</v>
      </c>
      <c r="E406" t="s">
        <v>419</v>
      </c>
      <c r="F406" t="s">
        <v>223</v>
      </c>
      <c r="G406">
        <v>0.47899999999999998</v>
      </c>
      <c r="H406" t="s">
        <v>11</v>
      </c>
    </row>
    <row r="407" spans="1:8" x14ac:dyDescent="0.25">
      <c r="A407" t="str">
        <f t="shared" si="6"/>
        <v>31-Jul-18</v>
      </c>
      <c r="B407" t="s">
        <v>7</v>
      </c>
      <c r="C407" t="s">
        <v>8</v>
      </c>
      <c r="D407" t="str">
        <f>"B01CP21"</f>
        <v>B01CP21</v>
      </c>
      <c r="E407" t="s">
        <v>420</v>
      </c>
      <c r="F407" t="s">
        <v>223</v>
      </c>
      <c r="G407">
        <v>8.9999999999999993E-3</v>
      </c>
      <c r="H407" t="s">
        <v>11</v>
      </c>
    </row>
    <row r="408" spans="1:8" x14ac:dyDescent="0.25">
      <c r="A408" t="str">
        <f t="shared" si="6"/>
        <v>31-Jul-18</v>
      </c>
      <c r="B408" t="s">
        <v>7</v>
      </c>
      <c r="C408" t="s">
        <v>8</v>
      </c>
      <c r="D408" t="str">
        <f>"BD594Y4"</f>
        <v>BD594Y4</v>
      </c>
      <c r="E408" t="s">
        <v>421</v>
      </c>
      <c r="F408" t="s">
        <v>223</v>
      </c>
      <c r="G408">
        <v>1.4E-2</v>
      </c>
      <c r="H408" t="s">
        <v>11</v>
      </c>
    </row>
    <row r="409" spans="1:8" x14ac:dyDescent="0.25">
      <c r="A409" t="str">
        <f t="shared" si="6"/>
        <v>31-Jul-18</v>
      </c>
      <c r="B409" t="s">
        <v>7</v>
      </c>
      <c r="C409" t="s">
        <v>8</v>
      </c>
      <c r="D409" t="str">
        <f>"B1RR828"</f>
        <v>B1RR828</v>
      </c>
      <c r="E409" t="s">
        <v>422</v>
      </c>
      <c r="F409" t="s">
        <v>223</v>
      </c>
      <c r="G409">
        <v>1.2999999999999999E-2</v>
      </c>
      <c r="H409" t="s">
        <v>11</v>
      </c>
    </row>
    <row r="410" spans="1:8" x14ac:dyDescent="0.25">
      <c r="A410" t="str">
        <f t="shared" si="6"/>
        <v>31-Jul-18</v>
      </c>
      <c r="B410" t="s">
        <v>7</v>
      </c>
      <c r="C410" t="s">
        <v>8</v>
      </c>
      <c r="D410" t="str">
        <f>"7251470"</f>
        <v>7251470</v>
      </c>
      <c r="E410" t="s">
        <v>423</v>
      </c>
      <c r="F410" t="s">
        <v>223</v>
      </c>
      <c r="G410">
        <v>4.1000000000000002E-2</v>
      </c>
      <c r="H410" t="s">
        <v>11</v>
      </c>
    </row>
    <row r="411" spans="1:8" x14ac:dyDescent="0.25">
      <c r="A411" t="str">
        <f t="shared" si="6"/>
        <v>31-Jul-18</v>
      </c>
      <c r="B411" t="s">
        <v>7</v>
      </c>
      <c r="C411" t="s">
        <v>8</v>
      </c>
      <c r="D411" t="str">
        <f>"5298781"</f>
        <v>5298781</v>
      </c>
      <c r="E411" t="s">
        <v>424</v>
      </c>
      <c r="F411" t="s">
        <v>223</v>
      </c>
      <c r="G411">
        <v>1.2E-2</v>
      </c>
      <c r="H411" t="s">
        <v>11</v>
      </c>
    </row>
    <row r="412" spans="1:8" x14ac:dyDescent="0.25">
      <c r="A412" t="str">
        <f t="shared" si="6"/>
        <v>31-Jul-18</v>
      </c>
      <c r="B412" t="s">
        <v>7</v>
      </c>
      <c r="C412" t="s">
        <v>8</v>
      </c>
      <c r="D412" t="str">
        <f>"5966516"</f>
        <v>5966516</v>
      </c>
      <c r="E412" t="s">
        <v>425</v>
      </c>
      <c r="F412" t="s">
        <v>223</v>
      </c>
      <c r="G412">
        <v>8.7999999999999995E-2</v>
      </c>
      <c r="H412" t="s">
        <v>11</v>
      </c>
    </row>
    <row r="413" spans="1:8" x14ac:dyDescent="0.25">
      <c r="A413" t="str">
        <f t="shared" si="6"/>
        <v>31-Jul-18</v>
      </c>
      <c r="B413" t="s">
        <v>7</v>
      </c>
      <c r="C413" t="s">
        <v>8</v>
      </c>
      <c r="D413" t="str">
        <f>"7062713"</f>
        <v>7062713</v>
      </c>
      <c r="E413" t="s">
        <v>426</v>
      </c>
      <c r="F413" t="s">
        <v>223</v>
      </c>
      <c r="G413">
        <v>2.1000000000000001E-2</v>
      </c>
      <c r="H413" t="s">
        <v>11</v>
      </c>
    </row>
    <row r="414" spans="1:8" x14ac:dyDescent="0.25">
      <c r="A414" t="str">
        <f t="shared" si="6"/>
        <v>31-Jul-18</v>
      </c>
      <c r="B414" t="s">
        <v>7</v>
      </c>
      <c r="C414" t="s">
        <v>8</v>
      </c>
      <c r="D414" t="str">
        <f>"4821100"</f>
        <v>4821100</v>
      </c>
      <c r="E414" t="s">
        <v>427</v>
      </c>
      <c r="F414" t="s">
        <v>223</v>
      </c>
      <c r="G414">
        <v>3.3000000000000002E-2</v>
      </c>
      <c r="H414" t="s">
        <v>11</v>
      </c>
    </row>
    <row r="415" spans="1:8" x14ac:dyDescent="0.25">
      <c r="A415" t="str">
        <f t="shared" si="6"/>
        <v>31-Jul-18</v>
      </c>
      <c r="B415" t="s">
        <v>7</v>
      </c>
      <c r="C415" t="s">
        <v>8</v>
      </c>
      <c r="D415" t="str">
        <f>"5072673"</f>
        <v>5072673</v>
      </c>
      <c r="E415" t="s">
        <v>428</v>
      </c>
      <c r="F415" t="s">
        <v>223</v>
      </c>
      <c r="G415">
        <v>4.2000000000000003E-2</v>
      </c>
      <c r="H415" t="s">
        <v>11</v>
      </c>
    </row>
    <row r="416" spans="1:8" x14ac:dyDescent="0.25">
      <c r="A416" t="str">
        <f t="shared" si="6"/>
        <v>31-Jul-18</v>
      </c>
      <c r="B416" t="s">
        <v>7</v>
      </c>
      <c r="C416" t="s">
        <v>8</v>
      </c>
      <c r="D416" t="str">
        <f>"B3B8D04"</f>
        <v>B3B8D04</v>
      </c>
      <c r="E416" t="s">
        <v>429</v>
      </c>
      <c r="F416" t="s">
        <v>223</v>
      </c>
      <c r="G416">
        <v>2.1999999999999999E-2</v>
      </c>
      <c r="H416" t="s">
        <v>11</v>
      </c>
    </row>
    <row r="417" spans="1:8" x14ac:dyDescent="0.25">
      <c r="A417" t="str">
        <f t="shared" si="6"/>
        <v>31-Jul-18</v>
      </c>
      <c r="B417" t="s">
        <v>7</v>
      </c>
      <c r="C417" t="s">
        <v>8</v>
      </c>
      <c r="D417" t="str">
        <f>"B1JB4K8"</f>
        <v>B1JB4K8</v>
      </c>
      <c r="E417" t="s">
        <v>430</v>
      </c>
      <c r="F417" t="s">
        <v>223</v>
      </c>
      <c r="G417">
        <v>0.02</v>
      </c>
      <c r="H417" t="s">
        <v>11</v>
      </c>
    </row>
    <row r="418" spans="1:8" x14ac:dyDescent="0.25">
      <c r="A418" t="str">
        <f t="shared" si="6"/>
        <v>31-Jul-18</v>
      </c>
      <c r="B418" t="s">
        <v>7</v>
      </c>
      <c r="C418" t="s">
        <v>8</v>
      </c>
      <c r="D418" t="str">
        <f>"B15C557"</f>
        <v>B15C557</v>
      </c>
      <c r="E418" t="s">
        <v>431</v>
      </c>
      <c r="F418" t="s">
        <v>223</v>
      </c>
      <c r="G418">
        <v>0.33500000000000002</v>
      </c>
      <c r="H418" t="s">
        <v>11</v>
      </c>
    </row>
    <row r="419" spans="1:8" x14ac:dyDescent="0.25">
      <c r="A419" t="str">
        <f t="shared" si="6"/>
        <v>31-Jul-18</v>
      </c>
      <c r="B419" t="s">
        <v>7</v>
      </c>
      <c r="C419" t="s">
        <v>8</v>
      </c>
      <c r="D419" t="str">
        <f>"7634394"</f>
        <v>7634394</v>
      </c>
      <c r="E419" t="s">
        <v>432</v>
      </c>
      <c r="F419" t="s">
        <v>223</v>
      </c>
      <c r="G419">
        <v>1.9E-2</v>
      </c>
      <c r="H419" t="s">
        <v>11</v>
      </c>
    </row>
    <row r="420" spans="1:8" x14ac:dyDescent="0.25">
      <c r="A420" t="str">
        <f t="shared" si="6"/>
        <v>31-Jul-18</v>
      </c>
      <c r="B420" t="s">
        <v>7</v>
      </c>
      <c r="C420" t="s">
        <v>8</v>
      </c>
      <c r="D420" t="str">
        <f>"7634402"</f>
        <v>7634402</v>
      </c>
      <c r="E420" t="s">
        <v>433</v>
      </c>
      <c r="F420" t="s">
        <v>223</v>
      </c>
      <c r="G420">
        <v>8.0000000000000002E-3</v>
      </c>
      <c r="H420" t="s">
        <v>11</v>
      </c>
    </row>
    <row r="421" spans="1:8" x14ac:dyDescent="0.25">
      <c r="A421" t="str">
        <f t="shared" si="6"/>
        <v>31-Jul-18</v>
      </c>
      <c r="B421" t="s">
        <v>7</v>
      </c>
      <c r="C421" t="s">
        <v>8</v>
      </c>
      <c r="D421" t="str">
        <f>"B7VG6L8"</f>
        <v>B7VG6L8</v>
      </c>
      <c r="E421" t="s">
        <v>434</v>
      </c>
      <c r="F421" t="s">
        <v>223</v>
      </c>
      <c r="G421">
        <v>1.4E-2</v>
      </c>
      <c r="H421" t="s">
        <v>11</v>
      </c>
    </row>
    <row r="422" spans="1:8" x14ac:dyDescent="0.25">
      <c r="A422" t="str">
        <f t="shared" si="6"/>
        <v>31-Jul-18</v>
      </c>
      <c r="B422" t="s">
        <v>7</v>
      </c>
      <c r="C422" t="s">
        <v>8</v>
      </c>
      <c r="D422" t="str">
        <f>"5732524"</f>
        <v>5732524</v>
      </c>
      <c r="E422" t="s">
        <v>435</v>
      </c>
      <c r="F422" t="s">
        <v>223</v>
      </c>
      <c r="G422">
        <v>0.17100000000000001</v>
      </c>
      <c r="H422" t="s">
        <v>11</v>
      </c>
    </row>
    <row r="423" spans="1:8" x14ac:dyDescent="0.25">
      <c r="A423" t="str">
        <f t="shared" si="6"/>
        <v>31-Jul-18</v>
      </c>
      <c r="B423" t="s">
        <v>7</v>
      </c>
      <c r="C423" t="s">
        <v>8</v>
      </c>
      <c r="D423" t="str">
        <f>"B0LKSK4"</f>
        <v>B0LKSK4</v>
      </c>
      <c r="E423" t="s">
        <v>436</v>
      </c>
      <c r="F423" t="s">
        <v>223</v>
      </c>
      <c r="G423">
        <v>2E-3</v>
      </c>
      <c r="H423" t="s">
        <v>11</v>
      </c>
    </row>
    <row r="424" spans="1:8" x14ac:dyDescent="0.25">
      <c r="A424" t="str">
        <f t="shared" si="6"/>
        <v>31-Jul-18</v>
      </c>
      <c r="B424" t="s">
        <v>7</v>
      </c>
      <c r="C424" t="s">
        <v>8</v>
      </c>
      <c r="D424" t="str">
        <f>"5999330"</f>
        <v>5999330</v>
      </c>
      <c r="E424" t="s">
        <v>437</v>
      </c>
      <c r="F424" t="s">
        <v>223</v>
      </c>
      <c r="G424">
        <v>0.04</v>
      </c>
      <c r="H424" t="s">
        <v>11</v>
      </c>
    </row>
    <row r="425" spans="1:8" x14ac:dyDescent="0.25">
      <c r="A425" t="str">
        <f t="shared" si="6"/>
        <v>31-Jul-18</v>
      </c>
      <c r="B425" t="s">
        <v>7</v>
      </c>
      <c r="C425" t="s">
        <v>8</v>
      </c>
      <c r="D425" t="str">
        <f>"7538515"</f>
        <v>7538515</v>
      </c>
      <c r="E425" t="s">
        <v>438</v>
      </c>
      <c r="F425" t="s">
        <v>223</v>
      </c>
      <c r="G425">
        <v>1.6E-2</v>
      </c>
      <c r="H425" t="s">
        <v>11</v>
      </c>
    </row>
    <row r="426" spans="1:8" x14ac:dyDescent="0.25">
      <c r="A426" t="str">
        <f t="shared" si="6"/>
        <v>31-Jul-18</v>
      </c>
      <c r="B426" t="s">
        <v>7</v>
      </c>
      <c r="C426" t="s">
        <v>8</v>
      </c>
      <c r="D426" t="str">
        <f>"B01BN57"</f>
        <v>B01BN57</v>
      </c>
      <c r="E426" t="s">
        <v>439</v>
      </c>
      <c r="F426" t="s">
        <v>223</v>
      </c>
      <c r="G426">
        <v>3.3000000000000002E-2</v>
      </c>
      <c r="H426" t="s">
        <v>11</v>
      </c>
    </row>
    <row r="427" spans="1:8" x14ac:dyDescent="0.25">
      <c r="A427" t="str">
        <f t="shared" si="6"/>
        <v>31-Jul-18</v>
      </c>
      <c r="B427" t="s">
        <v>7</v>
      </c>
      <c r="C427" t="s">
        <v>8</v>
      </c>
      <c r="D427" t="str">
        <f>"5596991"</f>
        <v>5596991</v>
      </c>
      <c r="E427" t="s">
        <v>440</v>
      </c>
      <c r="F427" t="s">
        <v>223</v>
      </c>
      <c r="G427">
        <v>3.9E-2</v>
      </c>
      <c r="H427" t="s">
        <v>11</v>
      </c>
    </row>
    <row r="428" spans="1:8" x14ac:dyDescent="0.25">
      <c r="A428" t="str">
        <f t="shared" si="6"/>
        <v>31-Jul-18</v>
      </c>
      <c r="B428" t="s">
        <v>7</v>
      </c>
      <c r="C428" t="s">
        <v>8</v>
      </c>
      <c r="D428" t="str">
        <f>"5051252"</f>
        <v>5051252</v>
      </c>
      <c r="E428" t="s">
        <v>441</v>
      </c>
      <c r="F428" t="s">
        <v>223</v>
      </c>
      <c r="G428">
        <v>8.5999999999999993E-2</v>
      </c>
      <c r="H428" t="s">
        <v>11</v>
      </c>
    </row>
    <row r="429" spans="1:8" x14ac:dyDescent="0.25">
      <c r="A429" t="str">
        <f t="shared" si="6"/>
        <v>31-Jul-18</v>
      </c>
      <c r="B429" t="s">
        <v>7</v>
      </c>
      <c r="C429" t="s">
        <v>8</v>
      </c>
      <c r="D429" t="str">
        <f>"B1L3CS6"</f>
        <v>B1L3CS6</v>
      </c>
      <c r="E429" t="s">
        <v>442</v>
      </c>
      <c r="F429" t="s">
        <v>223</v>
      </c>
      <c r="G429">
        <v>1.4E-2</v>
      </c>
      <c r="H429" t="s">
        <v>11</v>
      </c>
    </row>
    <row r="430" spans="1:8" x14ac:dyDescent="0.25">
      <c r="A430" t="str">
        <f t="shared" si="6"/>
        <v>31-Jul-18</v>
      </c>
      <c r="B430" t="s">
        <v>7</v>
      </c>
      <c r="C430" t="s">
        <v>8</v>
      </c>
      <c r="D430" t="str">
        <f>"BF44466"</f>
        <v>BF44466</v>
      </c>
      <c r="E430" t="s">
        <v>443</v>
      </c>
      <c r="F430" t="s">
        <v>223</v>
      </c>
      <c r="G430">
        <v>0.05</v>
      </c>
      <c r="H430" t="s">
        <v>11</v>
      </c>
    </row>
    <row r="431" spans="1:8" x14ac:dyDescent="0.25">
      <c r="A431" t="str">
        <f t="shared" si="6"/>
        <v>31-Jul-18</v>
      </c>
      <c r="B431" t="s">
        <v>7</v>
      </c>
      <c r="C431" t="s">
        <v>8</v>
      </c>
      <c r="D431" t="str">
        <f>"BYMXPS7"</f>
        <v>BYMXPS7</v>
      </c>
      <c r="E431" t="s">
        <v>444</v>
      </c>
      <c r="F431" t="s">
        <v>223</v>
      </c>
      <c r="G431">
        <v>7.1999999999999995E-2</v>
      </c>
      <c r="H431" t="s">
        <v>11</v>
      </c>
    </row>
    <row r="432" spans="1:8" x14ac:dyDescent="0.25">
      <c r="A432" t="str">
        <f t="shared" si="6"/>
        <v>31-Jul-18</v>
      </c>
      <c r="B432" t="s">
        <v>7</v>
      </c>
      <c r="C432" t="s">
        <v>8</v>
      </c>
      <c r="D432" t="str">
        <f>"BFYM460"</f>
        <v>BFYM460</v>
      </c>
      <c r="E432" t="s">
        <v>445</v>
      </c>
      <c r="F432" t="s">
        <v>223</v>
      </c>
      <c r="G432">
        <v>0.10299999999999999</v>
      </c>
      <c r="H432" t="s">
        <v>11</v>
      </c>
    </row>
    <row r="433" spans="1:8" x14ac:dyDescent="0.25">
      <c r="A433" t="str">
        <f t="shared" si="6"/>
        <v>31-Jul-18</v>
      </c>
      <c r="B433" t="s">
        <v>7</v>
      </c>
      <c r="C433" t="s">
        <v>8</v>
      </c>
      <c r="D433" t="str">
        <f>"B12T3J1"</f>
        <v>B12T3J1</v>
      </c>
      <c r="E433" t="s">
        <v>446</v>
      </c>
      <c r="F433" t="s">
        <v>223</v>
      </c>
      <c r="G433">
        <v>0.19400000000000001</v>
      </c>
      <c r="H433" t="s">
        <v>11</v>
      </c>
    </row>
    <row r="434" spans="1:8" x14ac:dyDescent="0.25">
      <c r="A434" t="str">
        <f t="shared" si="6"/>
        <v>31-Jul-18</v>
      </c>
      <c r="B434" t="s">
        <v>7</v>
      </c>
      <c r="C434" t="s">
        <v>8</v>
      </c>
      <c r="D434" t="str">
        <f>"BZ6CZ43"</f>
        <v>BZ6CZ43</v>
      </c>
      <c r="E434" t="s">
        <v>447</v>
      </c>
      <c r="F434" t="s">
        <v>223</v>
      </c>
      <c r="G434">
        <v>3.0000000000000001E-3</v>
      </c>
      <c r="H434" t="s">
        <v>11</v>
      </c>
    </row>
    <row r="435" spans="1:8" x14ac:dyDescent="0.25">
      <c r="A435" t="str">
        <f t="shared" si="6"/>
        <v>31-Jul-18</v>
      </c>
      <c r="B435" t="s">
        <v>7</v>
      </c>
      <c r="C435" t="s">
        <v>8</v>
      </c>
      <c r="D435" t="str">
        <f>"4354134"</f>
        <v>4354134</v>
      </c>
      <c r="E435" t="s">
        <v>448</v>
      </c>
      <c r="F435" t="s">
        <v>223</v>
      </c>
      <c r="G435">
        <v>7.0000000000000001E-3</v>
      </c>
      <c r="H435" t="s">
        <v>11</v>
      </c>
    </row>
    <row r="436" spans="1:8" x14ac:dyDescent="0.25">
      <c r="A436" t="str">
        <f t="shared" si="6"/>
        <v>31-Jul-18</v>
      </c>
      <c r="B436" t="s">
        <v>7</v>
      </c>
      <c r="C436" t="s">
        <v>8</v>
      </c>
      <c r="D436" t="str">
        <f>"BDC5ST8"</f>
        <v>BDC5ST8</v>
      </c>
      <c r="E436" t="s">
        <v>449</v>
      </c>
      <c r="F436" t="s">
        <v>223</v>
      </c>
      <c r="G436">
        <v>2.4E-2</v>
      </c>
      <c r="H436" t="s">
        <v>11</v>
      </c>
    </row>
    <row r="437" spans="1:8" x14ac:dyDescent="0.25">
      <c r="A437" t="str">
        <f t="shared" si="6"/>
        <v>31-Jul-18</v>
      </c>
      <c r="B437" t="s">
        <v>7</v>
      </c>
      <c r="C437" t="s">
        <v>8</v>
      </c>
      <c r="D437" t="str">
        <f>"4031879"</f>
        <v>4031879</v>
      </c>
      <c r="E437" t="s">
        <v>450</v>
      </c>
      <c r="F437" t="s">
        <v>223</v>
      </c>
      <c r="G437">
        <v>2.5999999999999999E-2</v>
      </c>
      <c r="H437" t="s">
        <v>11</v>
      </c>
    </row>
    <row r="438" spans="1:8" x14ac:dyDescent="0.25">
      <c r="A438" t="str">
        <f t="shared" si="6"/>
        <v>31-Jul-18</v>
      </c>
      <c r="B438" t="s">
        <v>7</v>
      </c>
      <c r="C438" t="s">
        <v>8</v>
      </c>
      <c r="D438" t="str">
        <f>"B1XH026"</f>
        <v>B1XH026</v>
      </c>
      <c r="E438" t="s">
        <v>451</v>
      </c>
      <c r="F438" t="s">
        <v>223</v>
      </c>
      <c r="G438">
        <v>0.129</v>
      </c>
      <c r="H438" t="s">
        <v>11</v>
      </c>
    </row>
    <row r="439" spans="1:8" x14ac:dyDescent="0.25">
      <c r="A439" t="str">
        <f t="shared" si="6"/>
        <v>31-Jul-18</v>
      </c>
      <c r="B439" t="s">
        <v>7</v>
      </c>
      <c r="C439" t="s">
        <v>8</v>
      </c>
      <c r="D439" t="str">
        <f>"4834777"</f>
        <v>4834777</v>
      </c>
      <c r="E439" t="s">
        <v>452</v>
      </c>
      <c r="F439" t="s">
        <v>223</v>
      </c>
      <c r="G439">
        <v>0.11600000000000001</v>
      </c>
      <c r="H439" t="s">
        <v>11</v>
      </c>
    </row>
    <row r="440" spans="1:8" x14ac:dyDescent="0.25">
      <c r="A440" t="str">
        <f t="shared" si="6"/>
        <v>31-Jul-18</v>
      </c>
      <c r="B440" t="s">
        <v>7</v>
      </c>
      <c r="C440" t="s">
        <v>8</v>
      </c>
      <c r="D440" t="str">
        <f>"BBJPFY1"</f>
        <v>BBJPFY1</v>
      </c>
      <c r="E440" t="s">
        <v>453</v>
      </c>
      <c r="F440" t="s">
        <v>223</v>
      </c>
      <c r="G440">
        <v>0.05</v>
      </c>
      <c r="H440" t="s">
        <v>11</v>
      </c>
    </row>
    <row r="441" spans="1:8" x14ac:dyDescent="0.25">
      <c r="A441" t="str">
        <f t="shared" si="6"/>
        <v>31-Jul-18</v>
      </c>
      <c r="B441" t="s">
        <v>7</v>
      </c>
      <c r="C441" t="s">
        <v>8</v>
      </c>
      <c r="D441" t="str">
        <f>"4525189"</f>
        <v>4525189</v>
      </c>
      <c r="E441" t="s">
        <v>454</v>
      </c>
      <c r="F441" t="s">
        <v>223</v>
      </c>
      <c r="G441">
        <v>4.2000000000000003E-2</v>
      </c>
      <c r="H441" t="s">
        <v>11</v>
      </c>
    </row>
    <row r="442" spans="1:8" x14ac:dyDescent="0.25">
      <c r="A442" t="str">
        <f t="shared" si="6"/>
        <v>31-Jul-18</v>
      </c>
      <c r="B442" t="s">
        <v>7</v>
      </c>
      <c r="C442" t="s">
        <v>8</v>
      </c>
      <c r="D442" t="str">
        <f>"7390113"</f>
        <v>7390113</v>
      </c>
      <c r="E442" t="s">
        <v>455</v>
      </c>
      <c r="F442" t="s">
        <v>223</v>
      </c>
      <c r="G442">
        <v>1.9E-2</v>
      </c>
      <c r="H442" t="s">
        <v>11</v>
      </c>
    </row>
    <row r="443" spans="1:8" x14ac:dyDescent="0.25">
      <c r="A443" t="str">
        <f t="shared" si="6"/>
        <v>31-Jul-18</v>
      </c>
      <c r="B443" t="s">
        <v>7</v>
      </c>
      <c r="C443" t="s">
        <v>8</v>
      </c>
      <c r="D443" t="str">
        <f>"7508927"</f>
        <v>7508927</v>
      </c>
      <c r="E443" t="s">
        <v>456</v>
      </c>
      <c r="F443" t="s">
        <v>223</v>
      </c>
      <c r="G443">
        <v>4.8000000000000001E-2</v>
      </c>
      <c r="H443" t="s">
        <v>11</v>
      </c>
    </row>
    <row r="444" spans="1:8" x14ac:dyDescent="0.25">
      <c r="A444" t="str">
        <f t="shared" si="6"/>
        <v>31-Jul-18</v>
      </c>
      <c r="B444" t="s">
        <v>7</v>
      </c>
      <c r="C444" t="s">
        <v>8</v>
      </c>
      <c r="D444" t="str">
        <f>"5671519"</f>
        <v>5671519</v>
      </c>
      <c r="E444" t="s">
        <v>457</v>
      </c>
      <c r="F444" t="s">
        <v>223</v>
      </c>
      <c r="G444">
        <v>3.5999999999999997E-2</v>
      </c>
      <c r="H444" t="s">
        <v>11</v>
      </c>
    </row>
    <row r="445" spans="1:8" x14ac:dyDescent="0.25">
      <c r="A445" t="str">
        <f t="shared" si="6"/>
        <v>31-Jul-18</v>
      </c>
      <c r="B445" t="s">
        <v>7</v>
      </c>
      <c r="C445" t="s">
        <v>8</v>
      </c>
      <c r="D445" t="str">
        <f>"BQV0SV7"</f>
        <v>BQV0SV7</v>
      </c>
      <c r="E445" t="s">
        <v>458</v>
      </c>
      <c r="F445" t="s">
        <v>223</v>
      </c>
      <c r="G445">
        <v>1.2999999999999999E-2</v>
      </c>
      <c r="H445" t="s">
        <v>11</v>
      </c>
    </row>
    <row r="446" spans="1:8" x14ac:dyDescent="0.25">
      <c r="A446" t="str">
        <f t="shared" si="6"/>
        <v>31-Jul-18</v>
      </c>
      <c r="B446" t="s">
        <v>7</v>
      </c>
      <c r="C446" t="s">
        <v>8</v>
      </c>
      <c r="D446" t="str">
        <f>"4031976"</f>
        <v>4031976</v>
      </c>
      <c r="E446" t="s">
        <v>459</v>
      </c>
      <c r="F446" t="s">
        <v>223</v>
      </c>
      <c r="G446">
        <v>0.17199999999999999</v>
      </c>
      <c r="H446" t="s">
        <v>11</v>
      </c>
    </row>
    <row r="447" spans="1:8" x14ac:dyDescent="0.25">
      <c r="A447" t="str">
        <f t="shared" si="6"/>
        <v>31-Jul-18</v>
      </c>
      <c r="B447" t="s">
        <v>7</v>
      </c>
      <c r="C447" t="s">
        <v>8</v>
      </c>
      <c r="D447" t="str">
        <f>"5636927"</f>
        <v>5636927</v>
      </c>
      <c r="E447" t="s">
        <v>460</v>
      </c>
      <c r="F447" t="s">
        <v>223</v>
      </c>
      <c r="G447">
        <v>2.9000000000000001E-2</v>
      </c>
      <c r="H447" t="s">
        <v>11</v>
      </c>
    </row>
    <row r="448" spans="1:8" x14ac:dyDescent="0.25">
      <c r="A448" t="str">
        <f t="shared" si="6"/>
        <v>31-Jul-18</v>
      </c>
      <c r="B448" t="s">
        <v>7</v>
      </c>
      <c r="C448" t="s">
        <v>8</v>
      </c>
      <c r="D448" t="str">
        <f>"4943402"</f>
        <v>4943402</v>
      </c>
      <c r="E448" t="s">
        <v>461</v>
      </c>
      <c r="F448" t="s">
        <v>223</v>
      </c>
      <c r="G448">
        <v>1.4E-2</v>
      </c>
      <c r="H448" t="s">
        <v>11</v>
      </c>
    </row>
    <row r="449" spans="1:8" x14ac:dyDescent="0.25">
      <c r="A449" t="str">
        <f t="shared" si="6"/>
        <v>31-Jul-18</v>
      </c>
      <c r="B449" t="s">
        <v>7</v>
      </c>
      <c r="C449" t="s">
        <v>462</v>
      </c>
      <c r="D449" t="str">
        <f>"STXEU8"</f>
        <v>STXEU8</v>
      </c>
      <c r="E449" t="s">
        <v>463</v>
      </c>
      <c r="F449" t="s">
        <v>223</v>
      </c>
      <c r="G449">
        <v>0</v>
      </c>
    </row>
    <row r="450" spans="1:8" x14ac:dyDescent="0.25">
      <c r="A450" t="str">
        <f t="shared" ref="A450:A513" si="7">"31-Jul-18"</f>
        <v>31-Jul-18</v>
      </c>
      <c r="B450" t="s">
        <v>7</v>
      </c>
      <c r="C450" t="s">
        <v>75</v>
      </c>
      <c r="F450" t="s">
        <v>223</v>
      </c>
      <c r="G450">
        <v>2.3E-2</v>
      </c>
      <c r="H450" t="s">
        <v>76</v>
      </c>
    </row>
    <row r="451" spans="1:8" x14ac:dyDescent="0.25">
      <c r="A451" t="str">
        <f t="shared" si="7"/>
        <v>31-Jul-18</v>
      </c>
      <c r="B451" t="s">
        <v>7</v>
      </c>
      <c r="C451" t="s">
        <v>8</v>
      </c>
      <c r="D451" t="str">
        <f>"B1YW440"</f>
        <v>B1YW440</v>
      </c>
      <c r="E451" t="s">
        <v>464</v>
      </c>
      <c r="F451" t="s">
        <v>465</v>
      </c>
      <c r="G451">
        <v>4.7E-2</v>
      </c>
      <c r="H451" t="s">
        <v>11</v>
      </c>
    </row>
    <row r="452" spans="1:8" x14ac:dyDescent="0.25">
      <c r="A452" t="str">
        <f t="shared" si="7"/>
        <v>31-Jul-18</v>
      </c>
      <c r="B452" t="s">
        <v>7</v>
      </c>
      <c r="C452" t="s">
        <v>8</v>
      </c>
      <c r="D452" t="str">
        <f>"B02J639"</f>
        <v>B02J639</v>
      </c>
      <c r="E452" t="s">
        <v>466</v>
      </c>
      <c r="F452" t="s">
        <v>465</v>
      </c>
      <c r="G452">
        <v>1.0999999999999999E-2</v>
      </c>
      <c r="H452" t="s">
        <v>11</v>
      </c>
    </row>
    <row r="453" spans="1:8" x14ac:dyDescent="0.25">
      <c r="A453" t="str">
        <f t="shared" si="7"/>
        <v>31-Jul-18</v>
      </c>
      <c r="B453" t="s">
        <v>7</v>
      </c>
      <c r="C453" t="s">
        <v>8</v>
      </c>
      <c r="D453" t="str">
        <f>"B1XZS82"</f>
        <v>B1XZS82</v>
      </c>
      <c r="E453" t="s">
        <v>467</v>
      </c>
      <c r="F453" t="s">
        <v>465</v>
      </c>
      <c r="G453">
        <v>5.0999999999999997E-2</v>
      </c>
      <c r="H453" t="s">
        <v>11</v>
      </c>
    </row>
    <row r="454" spans="1:8" x14ac:dyDescent="0.25">
      <c r="A454" t="str">
        <f t="shared" si="7"/>
        <v>31-Jul-18</v>
      </c>
      <c r="B454" t="s">
        <v>7</v>
      </c>
      <c r="C454" t="s">
        <v>8</v>
      </c>
      <c r="D454" t="str">
        <f>"0045614"</f>
        <v>0045614</v>
      </c>
      <c r="E454" t="s">
        <v>468</v>
      </c>
      <c r="F454" t="s">
        <v>465</v>
      </c>
      <c r="G454">
        <v>1.2E-2</v>
      </c>
      <c r="H454" t="s">
        <v>11</v>
      </c>
    </row>
    <row r="455" spans="1:8" x14ac:dyDescent="0.25">
      <c r="A455" t="str">
        <f t="shared" si="7"/>
        <v>31-Jul-18</v>
      </c>
      <c r="B455" t="s">
        <v>7</v>
      </c>
      <c r="C455" t="s">
        <v>8</v>
      </c>
      <c r="D455" t="str">
        <f>"0053673"</f>
        <v>0053673</v>
      </c>
      <c r="E455" t="s">
        <v>469</v>
      </c>
      <c r="F455" t="s">
        <v>465</v>
      </c>
      <c r="G455">
        <v>3.5000000000000003E-2</v>
      </c>
      <c r="H455" t="s">
        <v>11</v>
      </c>
    </row>
    <row r="456" spans="1:8" x14ac:dyDescent="0.25">
      <c r="A456" t="str">
        <f t="shared" si="7"/>
        <v>31-Jul-18</v>
      </c>
      <c r="B456" t="s">
        <v>7</v>
      </c>
      <c r="C456" t="s">
        <v>8</v>
      </c>
      <c r="D456" t="str">
        <f>"0673123"</f>
        <v>0673123</v>
      </c>
      <c r="E456" t="s">
        <v>470</v>
      </c>
      <c r="F456" t="s">
        <v>465</v>
      </c>
      <c r="G456">
        <v>0.03</v>
      </c>
      <c r="H456" t="s">
        <v>11</v>
      </c>
    </row>
    <row r="457" spans="1:8" x14ac:dyDescent="0.25">
      <c r="A457" t="str">
        <f t="shared" si="7"/>
        <v>31-Jul-18</v>
      </c>
      <c r="B457" t="s">
        <v>7</v>
      </c>
      <c r="C457" t="s">
        <v>8</v>
      </c>
      <c r="D457" t="str">
        <f>"0989529"</f>
        <v>0989529</v>
      </c>
      <c r="E457" t="s">
        <v>471</v>
      </c>
      <c r="F457" t="s">
        <v>465</v>
      </c>
      <c r="G457">
        <v>0.438</v>
      </c>
      <c r="H457" t="s">
        <v>11</v>
      </c>
    </row>
    <row r="458" spans="1:8" x14ac:dyDescent="0.25">
      <c r="A458" t="str">
        <f t="shared" si="7"/>
        <v>31-Jul-18</v>
      </c>
      <c r="B458" t="s">
        <v>7</v>
      </c>
      <c r="C458" t="s">
        <v>8</v>
      </c>
      <c r="D458" t="str">
        <f>"BVYVFW2"</f>
        <v>BVYVFW2</v>
      </c>
      <c r="E458" t="s">
        <v>472</v>
      </c>
      <c r="F458" t="s">
        <v>465</v>
      </c>
      <c r="G458">
        <v>8.9999999999999993E-3</v>
      </c>
      <c r="H458" t="s">
        <v>11</v>
      </c>
    </row>
    <row r="459" spans="1:8" x14ac:dyDescent="0.25">
      <c r="A459" t="str">
        <f t="shared" si="7"/>
        <v>31-Jul-18</v>
      </c>
      <c r="B459" t="s">
        <v>7</v>
      </c>
      <c r="C459" t="s">
        <v>8</v>
      </c>
      <c r="D459" t="str">
        <f>"0216238"</f>
        <v>0216238</v>
      </c>
      <c r="E459" t="s">
        <v>473</v>
      </c>
      <c r="F459" t="s">
        <v>465</v>
      </c>
      <c r="G459">
        <v>0.114</v>
      </c>
      <c r="H459" t="s">
        <v>11</v>
      </c>
    </row>
    <row r="460" spans="1:8" x14ac:dyDescent="0.25">
      <c r="A460" t="str">
        <f t="shared" si="7"/>
        <v>31-Jul-18</v>
      </c>
      <c r="B460" t="s">
        <v>7</v>
      </c>
      <c r="C460" t="s">
        <v>8</v>
      </c>
      <c r="D460" t="str">
        <f>"0798059"</f>
        <v>0798059</v>
      </c>
      <c r="E460" t="s">
        <v>474</v>
      </c>
      <c r="F460" t="s">
        <v>465</v>
      </c>
      <c r="G460">
        <v>0.31900000000000001</v>
      </c>
      <c r="H460" t="s">
        <v>11</v>
      </c>
    </row>
    <row r="461" spans="1:8" x14ac:dyDescent="0.25">
      <c r="A461" t="str">
        <f t="shared" si="7"/>
        <v>31-Jul-18</v>
      </c>
      <c r="B461" t="s">
        <v>7</v>
      </c>
      <c r="C461" t="s">
        <v>8</v>
      </c>
      <c r="D461" t="str">
        <f>"3091357"</f>
        <v>3091357</v>
      </c>
      <c r="E461" t="s">
        <v>475</v>
      </c>
      <c r="F461" t="s">
        <v>465</v>
      </c>
      <c r="G461">
        <v>9.5000000000000001E-2</v>
      </c>
      <c r="H461" t="s">
        <v>11</v>
      </c>
    </row>
    <row r="462" spans="1:8" x14ac:dyDescent="0.25">
      <c r="A462" t="str">
        <f t="shared" si="7"/>
        <v>31-Jul-18</v>
      </c>
      <c r="B462" t="s">
        <v>7</v>
      </c>
      <c r="C462" t="s">
        <v>8</v>
      </c>
      <c r="D462" t="str">
        <f>"3134865"</f>
        <v>3134865</v>
      </c>
      <c r="E462" t="s">
        <v>476</v>
      </c>
      <c r="F462" t="s">
        <v>465</v>
      </c>
      <c r="G462">
        <v>9.0999999999999998E-2</v>
      </c>
      <c r="H462" t="s">
        <v>11</v>
      </c>
    </row>
    <row r="463" spans="1:8" x14ac:dyDescent="0.25">
      <c r="A463" t="str">
        <f t="shared" si="7"/>
        <v>31-Jul-18</v>
      </c>
      <c r="B463" t="s">
        <v>7</v>
      </c>
      <c r="C463" t="s">
        <v>8</v>
      </c>
      <c r="D463" t="str">
        <f>"0081180"</f>
        <v>0081180</v>
      </c>
      <c r="E463" t="s">
        <v>477</v>
      </c>
      <c r="F463" t="s">
        <v>465</v>
      </c>
      <c r="G463">
        <v>2.5999999999999999E-2</v>
      </c>
      <c r="H463" t="s">
        <v>11</v>
      </c>
    </row>
    <row r="464" spans="1:8" x14ac:dyDescent="0.25">
      <c r="A464" t="str">
        <f t="shared" si="7"/>
        <v>31-Jul-18</v>
      </c>
      <c r="B464" t="s">
        <v>7</v>
      </c>
      <c r="C464" t="s">
        <v>8</v>
      </c>
      <c r="D464" t="str">
        <f>"B02L3W3"</f>
        <v>B02L3W3</v>
      </c>
      <c r="E464" t="s">
        <v>478</v>
      </c>
      <c r="F464" t="s">
        <v>465</v>
      </c>
      <c r="G464">
        <v>2.4E-2</v>
      </c>
      <c r="H464" t="s">
        <v>11</v>
      </c>
    </row>
    <row r="465" spans="1:8" x14ac:dyDescent="0.25">
      <c r="A465" t="str">
        <f t="shared" si="7"/>
        <v>31-Jul-18</v>
      </c>
      <c r="B465" t="s">
        <v>7</v>
      </c>
      <c r="C465" t="s">
        <v>8</v>
      </c>
      <c r="D465" t="str">
        <f>"0287580"</f>
        <v>0287580</v>
      </c>
      <c r="E465" t="s">
        <v>479</v>
      </c>
      <c r="F465" t="s">
        <v>465</v>
      </c>
      <c r="G465">
        <v>0.317</v>
      </c>
      <c r="H465" t="s">
        <v>11</v>
      </c>
    </row>
    <row r="466" spans="1:8" x14ac:dyDescent="0.25">
      <c r="A466" t="str">
        <f t="shared" si="7"/>
        <v>31-Jul-18</v>
      </c>
      <c r="B466" t="s">
        <v>7</v>
      </c>
      <c r="C466" t="s">
        <v>8</v>
      </c>
      <c r="D466" t="str">
        <f>"0136701"</f>
        <v>0136701</v>
      </c>
      <c r="E466" t="s">
        <v>480</v>
      </c>
      <c r="F466" t="s">
        <v>465</v>
      </c>
      <c r="G466">
        <v>3.5000000000000003E-2</v>
      </c>
      <c r="H466" t="s">
        <v>11</v>
      </c>
    </row>
    <row r="467" spans="1:8" x14ac:dyDescent="0.25">
      <c r="A467" t="str">
        <f t="shared" si="7"/>
        <v>31-Jul-18</v>
      </c>
      <c r="B467" t="s">
        <v>7</v>
      </c>
      <c r="C467" t="s">
        <v>8</v>
      </c>
      <c r="D467" t="str">
        <f>"B0744B3"</f>
        <v>B0744B3</v>
      </c>
      <c r="E467" t="s">
        <v>481</v>
      </c>
      <c r="F467" t="s">
        <v>465</v>
      </c>
      <c r="G467">
        <v>4.1000000000000002E-2</v>
      </c>
      <c r="H467" t="s">
        <v>11</v>
      </c>
    </row>
    <row r="468" spans="1:8" x14ac:dyDescent="0.25">
      <c r="A468" t="str">
        <f t="shared" si="7"/>
        <v>31-Jul-18</v>
      </c>
      <c r="B468" t="s">
        <v>7</v>
      </c>
      <c r="C468" t="s">
        <v>8</v>
      </c>
      <c r="D468" t="str">
        <f>"3174300"</f>
        <v>3174300</v>
      </c>
      <c r="E468" t="s">
        <v>482</v>
      </c>
      <c r="F468" t="s">
        <v>465</v>
      </c>
      <c r="G468">
        <v>4.9000000000000002E-2</v>
      </c>
      <c r="H468" t="s">
        <v>11</v>
      </c>
    </row>
    <row r="469" spans="1:8" x14ac:dyDescent="0.25">
      <c r="A469" t="str">
        <f t="shared" si="7"/>
        <v>31-Jul-18</v>
      </c>
      <c r="B469" t="s">
        <v>7</v>
      </c>
      <c r="C469" t="s">
        <v>8</v>
      </c>
      <c r="D469" t="str">
        <f>"3121522"</f>
        <v>3121522</v>
      </c>
      <c r="E469" t="s">
        <v>483</v>
      </c>
      <c r="F469" t="s">
        <v>465</v>
      </c>
      <c r="G469">
        <v>6.0000000000000001E-3</v>
      </c>
      <c r="H469" t="s">
        <v>11</v>
      </c>
    </row>
    <row r="470" spans="1:8" x14ac:dyDescent="0.25">
      <c r="A470" t="str">
        <f t="shared" si="7"/>
        <v>31-Jul-18</v>
      </c>
      <c r="B470" t="s">
        <v>7</v>
      </c>
      <c r="C470" t="s">
        <v>8</v>
      </c>
      <c r="D470" t="str">
        <f>"B033F22"</f>
        <v>B033F22</v>
      </c>
      <c r="E470" t="s">
        <v>484</v>
      </c>
      <c r="F470" t="s">
        <v>465</v>
      </c>
      <c r="G470">
        <v>0.02</v>
      </c>
      <c r="H470" t="s">
        <v>11</v>
      </c>
    </row>
    <row r="471" spans="1:8" x14ac:dyDescent="0.25">
      <c r="A471" t="str">
        <f t="shared" si="7"/>
        <v>31-Jul-18</v>
      </c>
      <c r="B471" t="s">
        <v>7</v>
      </c>
      <c r="C471" t="s">
        <v>8</v>
      </c>
      <c r="D471" t="str">
        <f>"B9895B7"</f>
        <v>B9895B7</v>
      </c>
      <c r="E471" t="s">
        <v>485</v>
      </c>
      <c r="F471" t="s">
        <v>465</v>
      </c>
      <c r="G471">
        <v>2.4E-2</v>
      </c>
      <c r="H471" t="s">
        <v>11</v>
      </c>
    </row>
    <row r="472" spans="1:8" x14ac:dyDescent="0.25">
      <c r="A472" t="str">
        <f t="shared" si="7"/>
        <v>31-Jul-18</v>
      </c>
      <c r="B472" t="s">
        <v>7</v>
      </c>
      <c r="C472" t="s">
        <v>8</v>
      </c>
      <c r="D472" t="str">
        <f>"BD6K457"</f>
        <v>BD6K457</v>
      </c>
      <c r="E472" t="s">
        <v>486</v>
      </c>
      <c r="F472" t="s">
        <v>465</v>
      </c>
      <c r="G472">
        <v>8.3000000000000004E-2</v>
      </c>
      <c r="H472" t="s">
        <v>11</v>
      </c>
    </row>
    <row r="473" spans="1:8" x14ac:dyDescent="0.25">
      <c r="A473" t="str">
        <f t="shared" si="7"/>
        <v>31-Jul-18</v>
      </c>
      <c r="B473" t="s">
        <v>7</v>
      </c>
      <c r="C473" t="s">
        <v>8</v>
      </c>
      <c r="D473" t="str">
        <f>"BD3VFW7"</f>
        <v>BD3VFW7</v>
      </c>
      <c r="E473" t="s">
        <v>487</v>
      </c>
      <c r="F473" t="s">
        <v>465</v>
      </c>
      <c r="G473">
        <v>7.0000000000000001E-3</v>
      </c>
      <c r="H473" t="s">
        <v>11</v>
      </c>
    </row>
    <row r="474" spans="1:8" x14ac:dyDescent="0.25">
      <c r="A474" t="str">
        <f t="shared" si="7"/>
        <v>31-Jul-18</v>
      </c>
      <c r="B474" t="s">
        <v>7</v>
      </c>
      <c r="C474" t="s">
        <v>8</v>
      </c>
      <c r="D474" t="str">
        <f>"BYZWX76"</f>
        <v>BYZWX76</v>
      </c>
      <c r="E474" t="s">
        <v>488</v>
      </c>
      <c r="F474" t="s">
        <v>465</v>
      </c>
      <c r="G474">
        <v>3.4000000000000002E-2</v>
      </c>
      <c r="H474" t="s">
        <v>11</v>
      </c>
    </row>
    <row r="475" spans="1:8" x14ac:dyDescent="0.25">
      <c r="A475" t="str">
        <f t="shared" si="7"/>
        <v>31-Jul-18</v>
      </c>
      <c r="B475" t="s">
        <v>7</v>
      </c>
      <c r="C475" t="s">
        <v>8</v>
      </c>
      <c r="D475" t="str">
        <f>"0242493"</f>
        <v>0242493</v>
      </c>
      <c r="E475" t="s">
        <v>489</v>
      </c>
      <c r="F475" t="s">
        <v>465</v>
      </c>
      <c r="G475">
        <v>4.5999999999999999E-2</v>
      </c>
      <c r="H475" t="s">
        <v>11</v>
      </c>
    </row>
    <row r="476" spans="1:8" x14ac:dyDescent="0.25">
      <c r="A476" t="str">
        <f t="shared" si="7"/>
        <v>31-Jul-18</v>
      </c>
      <c r="B476" t="s">
        <v>7</v>
      </c>
      <c r="C476" t="s">
        <v>8</v>
      </c>
      <c r="D476" t="str">
        <f>"0237400"</f>
        <v>0237400</v>
      </c>
      <c r="E476" t="s">
        <v>490</v>
      </c>
      <c r="F476" t="s">
        <v>465</v>
      </c>
      <c r="G476">
        <v>0.38700000000000001</v>
      </c>
      <c r="H476" t="s">
        <v>11</v>
      </c>
    </row>
    <row r="477" spans="1:8" x14ac:dyDescent="0.25">
      <c r="A477" t="str">
        <f t="shared" si="7"/>
        <v>31-Jul-18</v>
      </c>
      <c r="B477" t="s">
        <v>7</v>
      </c>
      <c r="C477" t="s">
        <v>8</v>
      </c>
      <c r="D477" t="str">
        <f>"BY9D0Y1"</f>
        <v>BY9D0Y1</v>
      </c>
      <c r="E477" t="s">
        <v>491</v>
      </c>
      <c r="F477" t="s">
        <v>465</v>
      </c>
      <c r="G477">
        <v>8.9999999999999993E-3</v>
      </c>
      <c r="H477" t="s">
        <v>11</v>
      </c>
    </row>
    <row r="478" spans="1:8" x14ac:dyDescent="0.25">
      <c r="A478" t="str">
        <f t="shared" si="7"/>
        <v>31-Jul-18</v>
      </c>
      <c r="B478" t="s">
        <v>7</v>
      </c>
      <c r="C478" t="s">
        <v>8</v>
      </c>
      <c r="D478" t="str">
        <f>"B19NLV4"</f>
        <v>B19NLV4</v>
      </c>
      <c r="E478" t="s">
        <v>492</v>
      </c>
      <c r="F478" t="s">
        <v>465</v>
      </c>
      <c r="G478">
        <v>5.8999999999999997E-2</v>
      </c>
      <c r="H478" t="s">
        <v>11</v>
      </c>
    </row>
    <row r="479" spans="1:8" x14ac:dyDescent="0.25">
      <c r="A479" t="str">
        <f t="shared" si="7"/>
        <v>31-Jul-18</v>
      </c>
      <c r="B479" t="s">
        <v>7</v>
      </c>
      <c r="C479" t="s">
        <v>8</v>
      </c>
      <c r="D479" t="str">
        <f>"BFYFZP5"</f>
        <v>BFYFZP5</v>
      </c>
      <c r="E479" t="s">
        <v>493</v>
      </c>
      <c r="F479" t="s">
        <v>465</v>
      </c>
      <c r="G479">
        <v>8.2000000000000003E-2</v>
      </c>
      <c r="H479" t="s">
        <v>11</v>
      </c>
    </row>
    <row r="480" spans="1:8" x14ac:dyDescent="0.25">
      <c r="A480" t="str">
        <f t="shared" si="7"/>
        <v>31-Jul-18</v>
      </c>
      <c r="B480" t="s">
        <v>7</v>
      </c>
      <c r="C480" t="s">
        <v>8</v>
      </c>
      <c r="D480" t="str">
        <f>"B2QPKJ1"</f>
        <v>B2QPKJ1</v>
      </c>
      <c r="E480" t="s">
        <v>494</v>
      </c>
      <c r="F480" t="s">
        <v>465</v>
      </c>
      <c r="G480">
        <v>7.0000000000000001E-3</v>
      </c>
      <c r="H480" t="s">
        <v>11</v>
      </c>
    </row>
    <row r="481" spans="1:8" x14ac:dyDescent="0.25">
      <c r="A481" t="str">
        <f t="shared" si="7"/>
        <v>31-Jul-18</v>
      </c>
      <c r="B481" t="s">
        <v>7</v>
      </c>
      <c r="C481" t="s">
        <v>8</v>
      </c>
      <c r="D481" t="str">
        <f>"B5VQMV6"</f>
        <v>B5VQMV6</v>
      </c>
      <c r="E481" t="s">
        <v>495</v>
      </c>
      <c r="F481" t="s">
        <v>465</v>
      </c>
      <c r="G481">
        <v>6.0000000000000001E-3</v>
      </c>
      <c r="H481" t="s">
        <v>11</v>
      </c>
    </row>
    <row r="482" spans="1:8" x14ac:dyDescent="0.25">
      <c r="A482" t="str">
        <f t="shared" si="7"/>
        <v>31-Jul-18</v>
      </c>
      <c r="B482" t="s">
        <v>7</v>
      </c>
      <c r="C482" t="s">
        <v>8</v>
      </c>
      <c r="D482" t="str">
        <f>"0925288"</f>
        <v>0925288</v>
      </c>
      <c r="E482" t="s">
        <v>496</v>
      </c>
      <c r="F482" t="s">
        <v>465</v>
      </c>
      <c r="G482">
        <v>0.24</v>
      </c>
      <c r="H482" t="s">
        <v>11</v>
      </c>
    </row>
    <row r="483" spans="1:8" x14ac:dyDescent="0.25">
      <c r="A483" t="str">
        <f t="shared" si="7"/>
        <v>31-Jul-18</v>
      </c>
      <c r="B483" t="s">
        <v>7</v>
      </c>
      <c r="C483" t="s">
        <v>8</v>
      </c>
      <c r="D483" t="str">
        <f>"B4T3BW6"</f>
        <v>B4T3BW6</v>
      </c>
      <c r="E483" t="s">
        <v>497</v>
      </c>
      <c r="F483" t="s">
        <v>465</v>
      </c>
      <c r="G483">
        <v>0.106</v>
      </c>
      <c r="H483" t="s">
        <v>11</v>
      </c>
    </row>
    <row r="484" spans="1:8" x14ac:dyDescent="0.25">
      <c r="A484" t="str">
        <f t="shared" si="7"/>
        <v>31-Jul-18</v>
      </c>
      <c r="B484" t="s">
        <v>7</v>
      </c>
      <c r="C484" t="s">
        <v>8</v>
      </c>
      <c r="D484" t="str">
        <f>"0540528"</f>
        <v>0540528</v>
      </c>
      <c r="E484" t="s">
        <v>498</v>
      </c>
      <c r="F484" t="s">
        <v>465</v>
      </c>
      <c r="G484">
        <v>0.499</v>
      </c>
      <c r="H484" t="s">
        <v>11</v>
      </c>
    </row>
    <row r="485" spans="1:8" x14ac:dyDescent="0.25">
      <c r="A485" t="str">
        <f t="shared" si="7"/>
        <v>31-Jul-18</v>
      </c>
      <c r="B485" t="s">
        <v>7</v>
      </c>
      <c r="C485" t="s">
        <v>8</v>
      </c>
      <c r="D485" t="str">
        <f>"0406501"</f>
        <v>0406501</v>
      </c>
      <c r="E485" t="s">
        <v>499</v>
      </c>
      <c r="F485" t="s">
        <v>465</v>
      </c>
      <c r="G485">
        <v>1.7999999999999999E-2</v>
      </c>
      <c r="H485" t="s">
        <v>11</v>
      </c>
    </row>
    <row r="486" spans="1:8" x14ac:dyDescent="0.25">
      <c r="A486" t="str">
        <f t="shared" si="7"/>
        <v>31-Jul-18</v>
      </c>
      <c r="B486" t="s">
        <v>7</v>
      </c>
      <c r="C486" t="s">
        <v>8</v>
      </c>
      <c r="D486" t="str">
        <f>"B1VZ0M2"</f>
        <v>B1VZ0M2</v>
      </c>
      <c r="E486" t="s">
        <v>500</v>
      </c>
      <c r="F486" t="s">
        <v>465</v>
      </c>
      <c r="G486">
        <v>1.4999999999999999E-2</v>
      </c>
      <c r="H486" t="s">
        <v>11</v>
      </c>
    </row>
    <row r="487" spans="1:8" x14ac:dyDescent="0.25">
      <c r="A487" t="str">
        <f t="shared" si="7"/>
        <v>31-Jul-18</v>
      </c>
      <c r="B487" t="s">
        <v>7</v>
      </c>
      <c r="C487" t="s">
        <v>8</v>
      </c>
      <c r="D487" t="str">
        <f>"3398649"</f>
        <v>3398649</v>
      </c>
      <c r="E487" t="s">
        <v>501</v>
      </c>
      <c r="F487" t="s">
        <v>465</v>
      </c>
      <c r="G487">
        <v>3.4000000000000002E-2</v>
      </c>
      <c r="H487" t="s">
        <v>11</v>
      </c>
    </row>
    <row r="488" spans="1:8" x14ac:dyDescent="0.25">
      <c r="A488" t="str">
        <f t="shared" si="7"/>
        <v>31-Jul-18</v>
      </c>
      <c r="B488" t="s">
        <v>7</v>
      </c>
      <c r="C488" t="s">
        <v>8</v>
      </c>
      <c r="D488" t="str">
        <f>"0454492"</f>
        <v>0454492</v>
      </c>
      <c r="E488" t="s">
        <v>502</v>
      </c>
      <c r="F488" t="s">
        <v>465</v>
      </c>
      <c r="G488">
        <v>7.2999999999999995E-2</v>
      </c>
      <c r="H488" t="s">
        <v>11</v>
      </c>
    </row>
    <row r="489" spans="1:8" x14ac:dyDescent="0.25">
      <c r="A489" t="str">
        <f t="shared" si="7"/>
        <v>31-Jul-18</v>
      </c>
      <c r="B489" t="s">
        <v>7</v>
      </c>
      <c r="C489" t="s">
        <v>8</v>
      </c>
      <c r="D489" t="str">
        <f>"BD8QVH4"</f>
        <v>BD8QVH4</v>
      </c>
      <c r="E489" t="s">
        <v>503</v>
      </c>
      <c r="F489" t="s">
        <v>465</v>
      </c>
      <c r="G489">
        <v>4.4999999999999998E-2</v>
      </c>
      <c r="H489" t="s">
        <v>11</v>
      </c>
    </row>
    <row r="490" spans="1:8" x14ac:dyDescent="0.25">
      <c r="A490" t="str">
        <f t="shared" si="7"/>
        <v>31-Jul-18</v>
      </c>
      <c r="B490" t="s">
        <v>7</v>
      </c>
      <c r="C490" t="s">
        <v>8</v>
      </c>
      <c r="D490" t="str">
        <f>"3163836"</f>
        <v>3163836</v>
      </c>
      <c r="E490" t="s">
        <v>504</v>
      </c>
      <c r="F490" t="s">
        <v>465</v>
      </c>
      <c r="G490">
        <v>5.0999999999999997E-2</v>
      </c>
      <c r="H490" t="s">
        <v>11</v>
      </c>
    </row>
    <row r="491" spans="1:8" x14ac:dyDescent="0.25">
      <c r="A491" t="str">
        <f t="shared" si="7"/>
        <v>31-Jul-18</v>
      </c>
      <c r="B491" t="s">
        <v>7</v>
      </c>
      <c r="C491" t="s">
        <v>8</v>
      </c>
      <c r="D491" t="str">
        <f>"B17BBQ5"</f>
        <v>B17BBQ5</v>
      </c>
      <c r="E491" t="s">
        <v>505</v>
      </c>
      <c r="F491" t="s">
        <v>465</v>
      </c>
      <c r="G491">
        <v>1.7999999999999999E-2</v>
      </c>
      <c r="H491" t="s">
        <v>11</v>
      </c>
    </row>
    <row r="492" spans="1:8" x14ac:dyDescent="0.25">
      <c r="A492" t="str">
        <f t="shared" si="7"/>
        <v>31-Jul-18</v>
      </c>
      <c r="B492" t="s">
        <v>7</v>
      </c>
      <c r="C492" t="s">
        <v>8</v>
      </c>
      <c r="D492" t="str">
        <f>"B019KW7"</f>
        <v>B019KW7</v>
      </c>
      <c r="E492" t="s">
        <v>506</v>
      </c>
      <c r="F492" t="s">
        <v>465</v>
      </c>
      <c r="G492">
        <v>0.03</v>
      </c>
      <c r="H492" t="s">
        <v>11</v>
      </c>
    </row>
    <row r="493" spans="1:8" x14ac:dyDescent="0.25">
      <c r="A493" t="str">
        <f t="shared" si="7"/>
        <v>31-Jul-18</v>
      </c>
      <c r="B493" t="s">
        <v>7</v>
      </c>
      <c r="C493" t="s">
        <v>8</v>
      </c>
      <c r="D493" t="str">
        <f>"B5N0P84"</f>
        <v>B5N0P84</v>
      </c>
      <c r="E493" t="s">
        <v>507</v>
      </c>
      <c r="F493" t="s">
        <v>465</v>
      </c>
      <c r="G493">
        <v>2.1000000000000001E-2</v>
      </c>
      <c r="H493" t="s">
        <v>11</v>
      </c>
    </row>
    <row r="494" spans="1:8" x14ac:dyDescent="0.25">
      <c r="A494" t="str">
        <f t="shared" si="7"/>
        <v>31-Jul-18</v>
      </c>
      <c r="B494" t="s">
        <v>7</v>
      </c>
      <c r="C494" t="s">
        <v>8</v>
      </c>
      <c r="D494" t="str">
        <f>"BZ4BQC7"</f>
        <v>BZ4BQC7</v>
      </c>
      <c r="E494" t="s">
        <v>508</v>
      </c>
      <c r="F494" t="s">
        <v>465</v>
      </c>
      <c r="G494">
        <v>3.9E-2</v>
      </c>
      <c r="H494" t="s">
        <v>11</v>
      </c>
    </row>
    <row r="495" spans="1:8" x14ac:dyDescent="0.25">
      <c r="A495" t="str">
        <f t="shared" si="7"/>
        <v>31-Jul-18</v>
      </c>
      <c r="B495" t="s">
        <v>7</v>
      </c>
      <c r="C495" t="s">
        <v>8</v>
      </c>
      <c r="D495" t="str">
        <f>"3319521"</f>
        <v>3319521</v>
      </c>
      <c r="E495" t="s">
        <v>509</v>
      </c>
      <c r="F495" t="s">
        <v>465</v>
      </c>
      <c r="G495">
        <v>3.5000000000000003E-2</v>
      </c>
      <c r="H495" t="s">
        <v>11</v>
      </c>
    </row>
    <row r="496" spans="1:8" x14ac:dyDescent="0.25">
      <c r="A496" t="str">
        <f t="shared" si="7"/>
        <v>31-Jul-18</v>
      </c>
      <c r="B496" t="s">
        <v>7</v>
      </c>
      <c r="C496" t="s">
        <v>8</v>
      </c>
      <c r="D496" t="str">
        <f>"BYW0PQ6"</f>
        <v>BYW0PQ6</v>
      </c>
      <c r="E496" t="s">
        <v>510</v>
      </c>
      <c r="F496" t="s">
        <v>465</v>
      </c>
      <c r="G496">
        <v>3.9E-2</v>
      </c>
      <c r="H496" t="s">
        <v>11</v>
      </c>
    </row>
    <row r="497" spans="1:8" x14ac:dyDescent="0.25">
      <c r="A497" t="str">
        <f t="shared" si="7"/>
        <v>31-Jul-18</v>
      </c>
      <c r="B497" t="s">
        <v>7</v>
      </c>
      <c r="C497" t="s">
        <v>8</v>
      </c>
      <c r="D497" t="str">
        <f>"0560399"</f>
        <v>0560399</v>
      </c>
      <c r="E497" t="s">
        <v>511</v>
      </c>
      <c r="F497" t="s">
        <v>465</v>
      </c>
      <c r="G497">
        <v>6.4000000000000001E-2</v>
      </c>
      <c r="H497" t="s">
        <v>11</v>
      </c>
    </row>
    <row r="498" spans="1:8" x14ac:dyDescent="0.25">
      <c r="A498" t="str">
        <f t="shared" si="7"/>
        <v>31-Jul-18</v>
      </c>
      <c r="B498" t="s">
        <v>7</v>
      </c>
      <c r="C498" t="s">
        <v>8</v>
      </c>
      <c r="D498" t="str">
        <f>"0870612"</f>
        <v>0870612</v>
      </c>
      <c r="E498" t="s">
        <v>512</v>
      </c>
      <c r="F498" t="s">
        <v>465</v>
      </c>
      <c r="G498">
        <v>0.124</v>
      </c>
      <c r="H498" t="s">
        <v>11</v>
      </c>
    </row>
    <row r="499" spans="1:8" x14ac:dyDescent="0.25">
      <c r="A499" t="str">
        <f t="shared" si="7"/>
        <v>31-Jul-18</v>
      </c>
      <c r="B499" t="s">
        <v>7</v>
      </c>
      <c r="C499" t="s">
        <v>8</v>
      </c>
      <c r="D499" t="str">
        <f>"B0SWJX3"</f>
        <v>B0SWJX3</v>
      </c>
      <c r="E499" t="s">
        <v>513</v>
      </c>
      <c r="F499" t="s">
        <v>465</v>
      </c>
      <c r="G499">
        <v>0.04</v>
      </c>
      <c r="H499" t="s">
        <v>11</v>
      </c>
    </row>
    <row r="500" spans="1:8" x14ac:dyDescent="0.25">
      <c r="A500" t="str">
        <f t="shared" si="7"/>
        <v>31-Jul-18</v>
      </c>
      <c r="B500" t="s">
        <v>7</v>
      </c>
      <c r="C500" t="s">
        <v>8</v>
      </c>
      <c r="D500" t="str">
        <f>"3127489"</f>
        <v>3127489</v>
      </c>
      <c r="E500" t="s">
        <v>514</v>
      </c>
      <c r="F500" t="s">
        <v>465</v>
      </c>
      <c r="G500">
        <v>0.03</v>
      </c>
      <c r="H500" t="s">
        <v>11</v>
      </c>
    </row>
    <row r="501" spans="1:8" x14ac:dyDescent="0.25">
      <c r="A501" t="str">
        <f t="shared" si="7"/>
        <v>31-Jul-18</v>
      </c>
      <c r="B501" t="s">
        <v>7</v>
      </c>
      <c r="C501" t="s">
        <v>8</v>
      </c>
      <c r="D501" t="str">
        <f>"B8HX8Z8"</f>
        <v>B8HX8Z8</v>
      </c>
      <c r="E501" t="s">
        <v>515</v>
      </c>
      <c r="F501" t="s">
        <v>465</v>
      </c>
      <c r="G501">
        <v>0.01</v>
      </c>
      <c r="H501" t="s">
        <v>11</v>
      </c>
    </row>
    <row r="502" spans="1:8" x14ac:dyDescent="0.25">
      <c r="A502" t="str">
        <f t="shared" si="7"/>
        <v>31-Jul-18</v>
      </c>
      <c r="B502" t="s">
        <v>7</v>
      </c>
      <c r="C502" t="s">
        <v>8</v>
      </c>
      <c r="D502" t="str">
        <f>"0575809"</f>
        <v>0575809</v>
      </c>
      <c r="E502" t="s">
        <v>516</v>
      </c>
      <c r="F502" t="s">
        <v>465</v>
      </c>
      <c r="G502">
        <v>0.06</v>
      </c>
      <c r="H502" t="s">
        <v>11</v>
      </c>
    </row>
    <row r="503" spans="1:8" x14ac:dyDescent="0.25">
      <c r="A503" t="str">
        <f t="shared" si="7"/>
        <v>31-Jul-18</v>
      </c>
      <c r="B503" t="s">
        <v>7</v>
      </c>
      <c r="C503" t="s">
        <v>8</v>
      </c>
      <c r="D503" t="str">
        <f>"BZ1G432"</f>
        <v>BZ1G432</v>
      </c>
      <c r="E503" t="s">
        <v>517</v>
      </c>
      <c r="F503" t="s">
        <v>465</v>
      </c>
      <c r="G503">
        <v>8.0000000000000002E-3</v>
      </c>
      <c r="H503" t="s">
        <v>11</v>
      </c>
    </row>
    <row r="504" spans="1:8" x14ac:dyDescent="0.25">
      <c r="A504" t="str">
        <f t="shared" si="7"/>
        <v>31-Jul-18</v>
      </c>
      <c r="B504" t="s">
        <v>7</v>
      </c>
      <c r="C504" t="s">
        <v>8</v>
      </c>
      <c r="D504" t="str">
        <f>"BDZT6P9"</f>
        <v>BDZT6P9</v>
      </c>
      <c r="E504" t="s">
        <v>518</v>
      </c>
      <c r="F504" t="s">
        <v>465</v>
      </c>
      <c r="G504">
        <v>1.4999999999999999E-2</v>
      </c>
      <c r="H504" t="s">
        <v>11</v>
      </c>
    </row>
    <row r="505" spans="1:8" x14ac:dyDescent="0.25">
      <c r="A505" t="str">
        <f t="shared" si="7"/>
        <v>31-Jul-18</v>
      </c>
      <c r="B505" t="s">
        <v>7</v>
      </c>
      <c r="C505" t="s">
        <v>8</v>
      </c>
      <c r="D505" t="str">
        <f>"BD8YWM0"</f>
        <v>BD8YWM0</v>
      </c>
      <c r="E505" t="s">
        <v>519</v>
      </c>
      <c r="F505" t="s">
        <v>465</v>
      </c>
      <c r="G505">
        <v>1.4999999999999999E-2</v>
      </c>
      <c r="H505" t="s">
        <v>11</v>
      </c>
    </row>
    <row r="506" spans="1:8" x14ac:dyDescent="0.25">
      <c r="A506" t="str">
        <f t="shared" si="7"/>
        <v>31-Jul-18</v>
      </c>
      <c r="B506" t="s">
        <v>7</v>
      </c>
      <c r="C506" t="s">
        <v>8</v>
      </c>
      <c r="D506" t="str">
        <f>"B1CRLC4"</f>
        <v>B1CRLC4</v>
      </c>
      <c r="E506" t="s">
        <v>520</v>
      </c>
      <c r="F506" t="s">
        <v>465</v>
      </c>
      <c r="G506">
        <v>0.04</v>
      </c>
      <c r="H506" t="s">
        <v>11</v>
      </c>
    </row>
    <row r="507" spans="1:8" x14ac:dyDescent="0.25">
      <c r="A507" t="str">
        <f t="shared" si="7"/>
        <v>31-Jul-18</v>
      </c>
      <c r="B507" t="s">
        <v>7</v>
      </c>
      <c r="C507" t="s">
        <v>8</v>
      </c>
      <c r="D507" t="str">
        <f>"BDR05C0"</f>
        <v>BDR05C0</v>
      </c>
      <c r="E507" t="s">
        <v>521</v>
      </c>
      <c r="F507" t="s">
        <v>465</v>
      </c>
      <c r="G507">
        <v>0.157</v>
      </c>
      <c r="H507" t="s">
        <v>11</v>
      </c>
    </row>
    <row r="508" spans="1:8" x14ac:dyDescent="0.25">
      <c r="A508" t="str">
        <f t="shared" si="7"/>
        <v>31-Jul-18</v>
      </c>
      <c r="B508" t="s">
        <v>7</v>
      </c>
      <c r="C508" t="s">
        <v>8</v>
      </c>
      <c r="D508" t="str">
        <f>"3208986"</f>
        <v>3208986</v>
      </c>
      <c r="E508" t="s">
        <v>522</v>
      </c>
      <c r="F508" t="s">
        <v>465</v>
      </c>
      <c r="G508">
        <v>4.8000000000000001E-2</v>
      </c>
      <c r="H508" t="s">
        <v>11</v>
      </c>
    </row>
    <row r="509" spans="1:8" x14ac:dyDescent="0.25">
      <c r="A509" t="str">
        <f t="shared" si="7"/>
        <v>31-Jul-18</v>
      </c>
      <c r="B509" t="s">
        <v>7</v>
      </c>
      <c r="C509" t="s">
        <v>8</v>
      </c>
      <c r="D509" t="str">
        <f>"0677608"</f>
        <v>0677608</v>
      </c>
      <c r="E509" t="s">
        <v>523</v>
      </c>
      <c r="F509" t="s">
        <v>465</v>
      </c>
      <c r="G509">
        <v>1.9E-2</v>
      </c>
      <c r="H509" t="s">
        <v>11</v>
      </c>
    </row>
    <row r="510" spans="1:8" x14ac:dyDescent="0.25">
      <c r="A510" t="str">
        <f t="shared" si="7"/>
        <v>31-Jul-18</v>
      </c>
      <c r="B510" t="s">
        <v>7</v>
      </c>
      <c r="C510" t="s">
        <v>8</v>
      </c>
      <c r="D510" t="str">
        <f>"0682538"</f>
        <v>0682538</v>
      </c>
      <c r="E510" t="s">
        <v>524</v>
      </c>
      <c r="F510" t="s">
        <v>465</v>
      </c>
      <c r="G510">
        <v>1.9E-2</v>
      </c>
      <c r="H510" t="s">
        <v>11</v>
      </c>
    </row>
    <row r="511" spans="1:8" x14ac:dyDescent="0.25">
      <c r="A511" t="str">
        <f t="shared" si="7"/>
        <v>31-Jul-18</v>
      </c>
      <c r="B511" t="s">
        <v>7</v>
      </c>
      <c r="C511" t="s">
        <v>8</v>
      </c>
      <c r="D511" t="str">
        <f>"0709954"</f>
        <v>0709954</v>
      </c>
      <c r="E511" t="s">
        <v>525</v>
      </c>
      <c r="F511" t="s">
        <v>465</v>
      </c>
      <c r="G511">
        <v>0.13200000000000001</v>
      </c>
      <c r="H511" t="s">
        <v>11</v>
      </c>
    </row>
    <row r="512" spans="1:8" x14ac:dyDescent="0.25">
      <c r="A512" t="str">
        <f t="shared" si="7"/>
        <v>31-Jul-18</v>
      </c>
      <c r="B512" t="s">
        <v>7</v>
      </c>
      <c r="C512" t="s">
        <v>8</v>
      </c>
      <c r="D512" t="str">
        <f>"B2B0DG9"</f>
        <v>B2B0DG9</v>
      </c>
      <c r="E512" t="s">
        <v>526</v>
      </c>
      <c r="F512" t="s">
        <v>465</v>
      </c>
      <c r="G512">
        <v>9.5000000000000001E-2</v>
      </c>
      <c r="H512" t="s">
        <v>11</v>
      </c>
    </row>
    <row r="513" spans="1:8" x14ac:dyDescent="0.25">
      <c r="A513" t="str">
        <f t="shared" si="7"/>
        <v>31-Jul-18</v>
      </c>
      <c r="B513" t="s">
        <v>7</v>
      </c>
      <c r="C513" t="s">
        <v>8</v>
      </c>
      <c r="D513" t="str">
        <f>"BKKMKR2"</f>
        <v>BKKMKR2</v>
      </c>
      <c r="E513" t="s">
        <v>527</v>
      </c>
      <c r="F513" t="s">
        <v>465</v>
      </c>
      <c r="G513">
        <v>1.6E-2</v>
      </c>
      <c r="H513" t="s">
        <v>11</v>
      </c>
    </row>
    <row r="514" spans="1:8" x14ac:dyDescent="0.25">
      <c r="A514" t="str">
        <f t="shared" ref="A514:A577" si="8">"31-Jul-18"</f>
        <v>31-Jul-18</v>
      </c>
      <c r="B514" t="s">
        <v>7</v>
      </c>
      <c r="C514" t="s">
        <v>8</v>
      </c>
      <c r="D514" t="str">
        <f>"B01C3S3"</f>
        <v>B01C3S3</v>
      </c>
      <c r="E514" t="s">
        <v>528</v>
      </c>
      <c r="F514" t="s">
        <v>465</v>
      </c>
      <c r="G514">
        <v>1.6E-2</v>
      </c>
      <c r="H514" t="s">
        <v>11</v>
      </c>
    </row>
    <row r="515" spans="1:8" x14ac:dyDescent="0.25">
      <c r="A515" t="str">
        <f t="shared" si="8"/>
        <v>31-Jul-18</v>
      </c>
      <c r="B515" t="s">
        <v>7</v>
      </c>
      <c r="C515" t="s">
        <v>8</v>
      </c>
      <c r="D515" t="str">
        <f>"B24CGK7"</f>
        <v>B24CGK7</v>
      </c>
      <c r="E515" t="s">
        <v>529</v>
      </c>
      <c r="F515" t="s">
        <v>465</v>
      </c>
      <c r="G515">
        <v>0.126</v>
      </c>
      <c r="H515" t="s">
        <v>11</v>
      </c>
    </row>
    <row r="516" spans="1:8" x14ac:dyDescent="0.25">
      <c r="A516" t="str">
        <f t="shared" si="8"/>
        <v>31-Jul-18</v>
      </c>
      <c r="B516" t="s">
        <v>7</v>
      </c>
      <c r="C516" t="s">
        <v>8</v>
      </c>
      <c r="D516" t="str">
        <f>"0718875"</f>
        <v>0718875</v>
      </c>
      <c r="E516" t="s">
        <v>530</v>
      </c>
      <c r="F516" t="s">
        <v>465</v>
      </c>
      <c r="G516">
        <v>0.14099999999999999</v>
      </c>
      <c r="H516" t="s">
        <v>11</v>
      </c>
    </row>
    <row r="517" spans="1:8" x14ac:dyDescent="0.25">
      <c r="A517" t="str">
        <f t="shared" si="8"/>
        <v>31-Jul-18</v>
      </c>
      <c r="B517" t="s">
        <v>7</v>
      </c>
      <c r="C517" t="s">
        <v>8</v>
      </c>
      <c r="D517" t="str">
        <f>"B63H849"</f>
        <v>B63H849</v>
      </c>
      <c r="E517" t="s">
        <v>531</v>
      </c>
      <c r="F517" t="s">
        <v>465</v>
      </c>
      <c r="G517">
        <v>6.5000000000000002E-2</v>
      </c>
      <c r="H517" t="s">
        <v>11</v>
      </c>
    </row>
    <row r="518" spans="1:8" x14ac:dyDescent="0.25">
      <c r="A518" t="str">
        <f t="shared" si="8"/>
        <v>31-Jul-18</v>
      </c>
      <c r="B518" t="s">
        <v>7</v>
      </c>
      <c r="C518" t="s">
        <v>8</v>
      </c>
      <c r="D518" t="str">
        <f>"B7T7721"</f>
        <v>B7T7721</v>
      </c>
      <c r="E518" t="s">
        <v>532</v>
      </c>
      <c r="F518" t="s">
        <v>465</v>
      </c>
      <c r="G518">
        <v>2.7E-2</v>
      </c>
      <c r="H518" t="s">
        <v>11</v>
      </c>
    </row>
    <row r="519" spans="1:8" x14ac:dyDescent="0.25">
      <c r="A519" t="str">
        <f t="shared" si="8"/>
        <v>31-Jul-18</v>
      </c>
      <c r="B519" t="s">
        <v>7</v>
      </c>
      <c r="C519" t="s">
        <v>8</v>
      </c>
      <c r="D519" t="str">
        <f>"BDVZYZ7"</f>
        <v>BDVZYZ7</v>
      </c>
      <c r="E519" t="s">
        <v>533</v>
      </c>
      <c r="F519" t="s">
        <v>465</v>
      </c>
      <c r="G519">
        <v>2.1000000000000001E-2</v>
      </c>
      <c r="H519" t="s">
        <v>11</v>
      </c>
    </row>
    <row r="520" spans="1:8" x14ac:dyDescent="0.25">
      <c r="A520" t="str">
        <f t="shared" si="8"/>
        <v>31-Jul-18</v>
      </c>
      <c r="B520" t="s">
        <v>7</v>
      </c>
      <c r="C520" t="s">
        <v>8</v>
      </c>
      <c r="D520" t="str">
        <f>"0790873"</f>
        <v>0790873</v>
      </c>
      <c r="E520" t="s">
        <v>534</v>
      </c>
      <c r="F520" t="s">
        <v>465</v>
      </c>
      <c r="G520">
        <v>7.2999999999999995E-2</v>
      </c>
      <c r="H520" t="s">
        <v>11</v>
      </c>
    </row>
    <row r="521" spans="1:8" x14ac:dyDescent="0.25">
      <c r="A521" t="str">
        <f t="shared" si="8"/>
        <v>31-Jul-18</v>
      </c>
      <c r="B521" t="s">
        <v>7</v>
      </c>
      <c r="C521" t="s">
        <v>8</v>
      </c>
      <c r="D521" t="str">
        <f>"B8C3BL0"</f>
        <v>B8C3BL0</v>
      </c>
      <c r="E521" t="s">
        <v>535</v>
      </c>
      <c r="F521" t="s">
        <v>465</v>
      </c>
      <c r="G521">
        <v>1.4999999999999999E-2</v>
      </c>
      <c r="H521" t="s">
        <v>11</v>
      </c>
    </row>
    <row r="522" spans="1:8" x14ac:dyDescent="0.25">
      <c r="A522" t="str">
        <f t="shared" si="8"/>
        <v>31-Jul-18</v>
      </c>
      <c r="B522" t="s">
        <v>7</v>
      </c>
      <c r="C522" t="s">
        <v>8</v>
      </c>
      <c r="D522" t="str">
        <f>"0240549"</f>
        <v>0240549</v>
      </c>
      <c r="E522" t="s">
        <v>536</v>
      </c>
      <c r="F522" t="s">
        <v>465</v>
      </c>
      <c r="G522">
        <v>0.02</v>
      </c>
      <c r="H522" t="s">
        <v>11</v>
      </c>
    </row>
    <row r="523" spans="1:8" x14ac:dyDescent="0.25">
      <c r="A523" t="str">
        <f t="shared" si="8"/>
        <v>31-Jul-18</v>
      </c>
      <c r="B523" t="s">
        <v>7</v>
      </c>
      <c r="C523" t="s">
        <v>8</v>
      </c>
      <c r="D523" t="str">
        <f>"B5ZN1N8"</f>
        <v>B5ZN1N8</v>
      </c>
      <c r="E523" t="s">
        <v>537</v>
      </c>
      <c r="F523" t="s">
        <v>465</v>
      </c>
      <c r="G523">
        <v>3.5999999999999997E-2</v>
      </c>
      <c r="H523" t="s">
        <v>11</v>
      </c>
    </row>
    <row r="524" spans="1:8" x14ac:dyDescent="0.25">
      <c r="A524" t="str">
        <f t="shared" si="8"/>
        <v>31-Jul-18</v>
      </c>
      <c r="B524" t="s">
        <v>7</v>
      </c>
      <c r="C524" t="s">
        <v>8</v>
      </c>
      <c r="D524" t="str">
        <f>"B1FH8J7"</f>
        <v>B1FH8J7</v>
      </c>
      <c r="E524" t="s">
        <v>538</v>
      </c>
      <c r="F524" t="s">
        <v>465</v>
      </c>
      <c r="G524">
        <v>1.0999999999999999E-2</v>
      </c>
      <c r="H524" t="s">
        <v>11</v>
      </c>
    </row>
    <row r="525" spans="1:8" x14ac:dyDescent="0.25">
      <c r="A525" t="str">
        <f t="shared" si="8"/>
        <v>31-Jul-18</v>
      </c>
      <c r="B525" t="s">
        <v>7</v>
      </c>
      <c r="C525" t="s">
        <v>8</v>
      </c>
      <c r="D525" t="str">
        <f>"B2QKY05"</f>
        <v>B2QKY05</v>
      </c>
      <c r="E525" t="s">
        <v>539</v>
      </c>
      <c r="F525" t="s">
        <v>465</v>
      </c>
      <c r="G525">
        <v>0.108</v>
      </c>
      <c r="H525" t="s">
        <v>11</v>
      </c>
    </row>
    <row r="526" spans="1:8" x14ac:dyDescent="0.25">
      <c r="A526" t="str">
        <f t="shared" si="8"/>
        <v>31-Jul-18</v>
      </c>
      <c r="B526" t="s">
        <v>7</v>
      </c>
      <c r="C526" t="s">
        <v>8</v>
      </c>
      <c r="D526" t="str">
        <f>"0141192"</f>
        <v>0141192</v>
      </c>
      <c r="E526" t="s">
        <v>540</v>
      </c>
      <c r="F526" t="s">
        <v>465</v>
      </c>
      <c r="G526">
        <v>4.2000000000000003E-2</v>
      </c>
      <c r="H526" t="s">
        <v>11</v>
      </c>
    </row>
    <row r="527" spans="1:8" x14ac:dyDescent="0.25">
      <c r="A527" t="str">
        <f t="shared" si="8"/>
        <v>31-Jul-18</v>
      </c>
      <c r="B527" t="s">
        <v>7</v>
      </c>
      <c r="C527" t="s">
        <v>8</v>
      </c>
      <c r="D527" t="str">
        <f>"0922320"</f>
        <v>0922320</v>
      </c>
      <c r="E527" t="s">
        <v>541</v>
      </c>
      <c r="F527" t="s">
        <v>465</v>
      </c>
      <c r="G527">
        <v>3.1E-2</v>
      </c>
      <c r="H527" t="s">
        <v>11</v>
      </c>
    </row>
    <row r="528" spans="1:8" x14ac:dyDescent="0.25">
      <c r="A528" t="str">
        <f t="shared" si="8"/>
        <v>31-Jul-18</v>
      </c>
      <c r="B528" t="s">
        <v>7</v>
      </c>
      <c r="C528" t="s">
        <v>8</v>
      </c>
      <c r="D528" t="str">
        <f>"B1WY233"</f>
        <v>B1WY233</v>
      </c>
      <c r="E528" t="s">
        <v>542</v>
      </c>
      <c r="F528" t="s">
        <v>465</v>
      </c>
      <c r="G528">
        <v>2.7E-2</v>
      </c>
      <c r="H528" t="s">
        <v>11</v>
      </c>
    </row>
    <row r="529" spans="1:8" x14ac:dyDescent="0.25">
      <c r="A529" t="str">
        <f t="shared" si="8"/>
        <v>31-Jul-18</v>
      </c>
      <c r="B529" t="s">
        <v>7</v>
      </c>
      <c r="C529" t="s">
        <v>8</v>
      </c>
      <c r="D529" t="str">
        <f>"BWSW5C8"</f>
        <v>BWSW5C8</v>
      </c>
      <c r="E529" t="s">
        <v>543</v>
      </c>
      <c r="F529" t="s">
        <v>465</v>
      </c>
      <c r="G529">
        <v>1.2E-2</v>
      </c>
      <c r="H529" t="s">
        <v>11</v>
      </c>
    </row>
    <row r="530" spans="1:8" x14ac:dyDescent="0.25">
      <c r="A530" t="str">
        <f t="shared" si="8"/>
        <v>31-Jul-18</v>
      </c>
      <c r="B530" t="s">
        <v>7</v>
      </c>
      <c r="C530" t="s">
        <v>8</v>
      </c>
      <c r="D530" t="str">
        <f>"0766937"</f>
        <v>0766937</v>
      </c>
      <c r="E530" t="s">
        <v>544</v>
      </c>
      <c r="F530" t="s">
        <v>465</v>
      </c>
      <c r="G530">
        <v>1.4E-2</v>
      </c>
      <c r="H530" t="s">
        <v>11</v>
      </c>
    </row>
    <row r="531" spans="1:8" x14ac:dyDescent="0.25">
      <c r="A531" t="str">
        <f t="shared" si="8"/>
        <v>31-Jul-18</v>
      </c>
      <c r="B531" t="s">
        <v>7</v>
      </c>
      <c r="C531" t="s">
        <v>8</v>
      </c>
      <c r="D531" t="str">
        <f>"0408284"</f>
        <v>0408284</v>
      </c>
      <c r="E531" t="s">
        <v>545</v>
      </c>
      <c r="F531" t="s">
        <v>465</v>
      </c>
      <c r="G531">
        <v>0.108</v>
      </c>
      <c r="H531" t="s">
        <v>11</v>
      </c>
    </row>
    <row r="532" spans="1:8" x14ac:dyDescent="0.25">
      <c r="A532" t="str">
        <f t="shared" si="8"/>
        <v>31-Jul-18</v>
      </c>
      <c r="B532" t="s">
        <v>7</v>
      </c>
      <c r="C532" t="s">
        <v>8</v>
      </c>
      <c r="D532" t="str">
        <f>"BVFD7Q5"</f>
        <v>BVFD7Q5</v>
      </c>
      <c r="E532" t="s">
        <v>546</v>
      </c>
      <c r="F532" t="s">
        <v>465</v>
      </c>
      <c r="G532">
        <v>2.5000000000000001E-2</v>
      </c>
      <c r="H532" t="s">
        <v>11</v>
      </c>
    </row>
    <row r="533" spans="1:8" x14ac:dyDescent="0.25">
      <c r="A533" t="str">
        <f t="shared" si="8"/>
        <v>31-Jul-18</v>
      </c>
      <c r="B533" t="s">
        <v>7</v>
      </c>
      <c r="C533" t="s">
        <v>8</v>
      </c>
      <c r="D533" t="str">
        <f>"B11LJN4"</f>
        <v>B11LJN4</v>
      </c>
      <c r="E533" t="s">
        <v>547</v>
      </c>
      <c r="F533" t="s">
        <v>465</v>
      </c>
      <c r="G533">
        <v>1.7999999999999999E-2</v>
      </c>
      <c r="H533" t="s">
        <v>11</v>
      </c>
    </row>
    <row r="534" spans="1:8" x14ac:dyDescent="0.25">
      <c r="A534" t="str">
        <f t="shared" si="8"/>
        <v>31-Jul-18</v>
      </c>
      <c r="B534" t="s">
        <v>7</v>
      </c>
      <c r="C534" t="s">
        <v>8</v>
      </c>
      <c r="D534" t="str">
        <f>"0878230"</f>
        <v>0878230</v>
      </c>
      <c r="E534" t="s">
        <v>548</v>
      </c>
      <c r="F534" t="s">
        <v>465</v>
      </c>
      <c r="G534">
        <v>2.9000000000000001E-2</v>
      </c>
      <c r="H534" t="s">
        <v>11</v>
      </c>
    </row>
    <row r="535" spans="1:8" x14ac:dyDescent="0.25">
      <c r="A535" t="str">
        <f t="shared" si="8"/>
        <v>31-Jul-18</v>
      </c>
      <c r="B535" t="s">
        <v>7</v>
      </c>
      <c r="C535" t="s">
        <v>8</v>
      </c>
      <c r="D535" t="str">
        <f>"0884709"</f>
        <v>0884709</v>
      </c>
      <c r="E535" t="s">
        <v>549</v>
      </c>
      <c r="F535" t="s">
        <v>465</v>
      </c>
      <c r="G535">
        <v>0.122</v>
      </c>
      <c r="H535" t="s">
        <v>11</v>
      </c>
    </row>
    <row r="536" spans="1:8" x14ac:dyDescent="0.25">
      <c r="A536" t="str">
        <f t="shared" si="8"/>
        <v>31-Jul-18</v>
      </c>
      <c r="B536" t="s">
        <v>7</v>
      </c>
      <c r="C536" t="s">
        <v>8</v>
      </c>
      <c r="D536" t="str">
        <f>"0773960"</f>
        <v>0773960</v>
      </c>
      <c r="E536" t="s">
        <v>550</v>
      </c>
      <c r="F536" t="s">
        <v>465</v>
      </c>
      <c r="G536">
        <v>1.7999999999999999E-2</v>
      </c>
      <c r="H536" t="s">
        <v>11</v>
      </c>
    </row>
    <row r="537" spans="1:8" x14ac:dyDescent="0.25">
      <c r="A537" t="str">
        <f t="shared" si="8"/>
        <v>31-Jul-18</v>
      </c>
      <c r="B537" t="s">
        <v>7</v>
      </c>
      <c r="C537" t="s">
        <v>8</v>
      </c>
      <c r="D537" t="str">
        <f>"B10RZP7"</f>
        <v>B10RZP7</v>
      </c>
      <c r="E537" t="s">
        <v>551</v>
      </c>
      <c r="F537" t="s">
        <v>465</v>
      </c>
      <c r="G537">
        <v>0.151</v>
      </c>
      <c r="H537" t="s">
        <v>11</v>
      </c>
    </row>
    <row r="538" spans="1:8" x14ac:dyDescent="0.25">
      <c r="A538" t="str">
        <f t="shared" si="8"/>
        <v>31-Jul-18</v>
      </c>
      <c r="B538" t="s">
        <v>7</v>
      </c>
      <c r="C538" t="s">
        <v>8</v>
      </c>
      <c r="D538" t="str">
        <f>"B39J2M4"</f>
        <v>B39J2M4</v>
      </c>
      <c r="E538" t="s">
        <v>552</v>
      </c>
      <c r="F538" t="s">
        <v>465</v>
      </c>
      <c r="G538">
        <v>2.7E-2</v>
      </c>
      <c r="H538" t="s">
        <v>11</v>
      </c>
    </row>
    <row r="539" spans="1:8" x14ac:dyDescent="0.25">
      <c r="A539" t="str">
        <f t="shared" si="8"/>
        <v>31-Jul-18</v>
      </c>
      <c r="B539" t="s">
        <v>7</v>
      </c>
      <c r="C539" t="s">
        <v>8</v>
      </c>
      <c r="D539" t="str">
        <f>"BH4HKS3"</f>
        <v>BH4HKS3</v>
      </c>
      <c r="E539" t="s">
        <v>553</v>
      </c>
      <c r="F539" t="s">
        <v>465</v>
      </c>
      <c r="G539">
        <v>0.219</v>
      </c>
      <c r="H539" t="s">
        <v>11</v>
      </c>
    </row>
    <row r="540" spans="1:8" x14ac:dyDescent="0.25">
      <c r="A540" t="str">
        <f t="shared" si="8"/>
        <v>31-Jul-18</v>
      </c>
      <c r="B540" t="s">
        <v>7</v>
      </c>
      <c r="C540" t="s">
        <v>8</v>
      </c>
      <c r="D540" t="str">
        <f>"B8KF9B4"</f>
        <v>B8KF9B4</v>
      </c>
      <c r="E540" t="s">
        <v>554</v>
      </c>
      <c r="F540" t="s">
        <v>465</v>
      </c>
      <c r="G540">
        <v>8.4000000000000005E-2</v>
      </c>
      <c r="H540" t="s">
        <v>11</v>
      </c>
    </row>
    <row r="541" spans="1:8" x14ac:dyDescent="0.25">
      <c r="A541" t="str">
        <f t="shared" si="8"/>
        <v>31-Jul-18</v>
      </c>
      <c r="B541" t="s">
        <v>7</v>
      </c>
      <c r="C541" t="s">
        <v>8</v>
      </c>
      <c r="D541" t="str">
        <f>"0946580"</f>
        <v>0946580</v>
      </c>
      <c r="E541" t="s">
        <v>555</v>
      </c>
      <c r="F541" t="s">
        <v>465</v>
      </c>
      <c r="G541">
        <v>1.2E-2</v>
      </c>
      <c r="H541" t="s">
        <v>11</v>
      </c>
    </row>
    <row r="542" spans="1:8" x14ac:dyDescent="0.25">
      <c r="A542" t="str">
        <f t="shared" si="8"/>
        <v>31-Jul-18</v>
      </c>
      <c r="B542" t="s">
        <v>7</v>
      </c>
      <c r="C542" t="s">
        <v>8</v>
      </c>
      <c r="D542" t="str">
        <f>"B1KJJ40"</f>
        <v>B1KJJ40</v>
      </c>
      <c r="E542" t="s">
        <v>556</v>
      </c>
      <c r="F542" t="s">
        <v>465</v>
      </c>
      <c r="G542">
        <v>3.9E-2</v>
      </c>
      <c r="H542" t="s">
        <v>11</v>
      </c>
    </row>
    <row r="543" spans="1:8" x14ac:dyDescent="0.25">
      <c r="A543" t="str">
        <f t="shared" si="8"/>
        <v>31-Jul-18</v>
      </c>
      <c r="B543" t="s">
        <v>7</v>
      </c>
      <c r="C543" t="s">
        <v>8</v>
      </c>
      <c r="D543" t="str">
        <f>"0604316"</f>
        <v>0604316</v>
      </c>
      <c r="E543" t="s">
        <v>557</v>
      </c>
      <c r="F543" t="s">
        <v>465</v>
      </c>
      <c r="G543">
        <v>3.1E-2</v>
      </c>
      <c r="H543" t="s">
        <v>11</v>
      </c>
    </row>
    <row r="544" spans="1:8" x14ac:dyDescent="0.25">
      <c r="A544" t="str">
        <f t="shared" si="8"/>
        <v>31-Jul-18</v>
      </c>
      <c r="B544" t="s">
        <v>7</v>
      </c>
      <c r="C544" t="s">
        <v>8</v>
      </c>
      <c r="D544" t="str">
        <f>"B7KR2P8"</f>
        <v>B7KR2P8</v>
      </c>
      <c r="E544" t="s">
        <v>558</v>
      </c>
      <c r="F544" t="s">
        <v>465</v>
      </c>
      <c r="G544">
        <v>1.7000000000000001E-2</v>
      </c>
      <c r="H544" t="s">
        <v>11</v>
      </c>
    </row>
    <row r="545" spans="1:8" x14ac:dyDescent="0.25">
      <c r="A545" t="str">
        <f t="shared" si="8"/>
        <v>31-Jul-18</v>
      </c>
      <c r="B545" t="s">
        <v>7</v>
      </c>
      <c r="C545" t="s">
        <v>75</v>
      </c>
      <c r="F545" t="s">
        <v>465</v>
      </c>
      <c r="G545">
        <v>3.5999999999999997E-2</v>
      </c>
      <c r="H545" t="s">
        <v>559</v>
      </c>
    </row>
    <row r="546" spans="1:8" x14ac:dyDescent="0.25">
      <c r="A546" t="str">
        <f t="shared" si="8"/>
        <v>31-Jul-18</v>
      </c>
      <c r="B546" t="s">
        <v>7</v>
      </c>
      <c r="C546" t="s">
        <v>8</v>
      </c>
      <c r="D546" t="str">
        <f>"B4TX8S1"</f>
        <v>B4TX8S1</v>
      </c>
      <c r="E546" t="s">
        <v>560</v>
      </c>
      <c r="F546" t="s">
        <v>561</v>
      </c>
      <c r="G546">
        <v>0.27800000000000002</v>
      </c>
      <c r="H546" t="s">
        <v>11</v>
      </c>
    </row>
    <row r="547" spans="1:8" x14ac:dyDescent="0.25">
      <c r="A547" t="str">
        <f t="shared" si="8"/>
        <v>31-Jul-18</v>
      </c>
      <c r="B547" t="s">
        <v>7</v>
      </c>
      <c r="C547" t="s">
        <v>8</v>
      </c>
      <c r="D547" t="str">
        <f>"6002453"</f>
        <v>6002453</v>
      </c>
      <c r="E547" t="s">
        <v>562</v>
      </c>
      <c r="F547" t="s">
        <v>561</v>
      </c>
      <c r="G547">
        <v>8.0000000000000002E-3</v>
      </c>
      <c r="H547" t="s">
        <v>11</v>
      </c>
    </row>
    <row r="548" spans="1:8" x14ac:dyDescent="0.25">
      <c r="A548" t="str">
        <f t="shared" si="8"/>
        <v>31-Jul-18</v>
      </c>
      <c r="B548" t="s">
        <v>7</v>
      </c>
      <c r="C548" t="s">
        <v>8</v>
      </c>
      <c r="D548" t="str">
        <f>"6536112"</f>
        <v>6536112</v>
      </c>
      <c r="E548" t="s">
        <v>563</v>
      </c>
      <c r="F548" t="s">
        <v>561</v>
      </c>
      <c r="G548">
        <v>7.5999999999999998E-2</v>
      </c>
      <c r="H548" t="s">
        <v>11</v>
      </c>
    </row>
    <row r="549" spans="1:8" x14ac:dyDescent="0.25">
      <c r="A549" t="str">
        <f t="shared" si="8"/>
        <v>31-Jul-18</v>
      </c>
      <c r="B549" t="s">
        <v>7</v>
      </c>
      <c r="C549" t="s">
        <v>8</v>
      </c>
      <c r="D549" t="str">
        <f>"6075648"</f>
        <v>6075648</v>
      </c>
      <c r="E549" t="s">
        <v>564</v>
      </c>
      <c r="F549" t="s">
        <v>561</v>
      </c>
      <c r="G549">
        <v>7.0000000000000001E-3</v>
      </c>
      <c r="H549" t="s">
        <v>11</v>
      </c>
    </row>
    <row r="550" spans="1:8" x14ac:dyDescent="0.25">
      <c r="A550" t="str">
        <f t="shared" si="8"/>
        <v>31-Jul-18</v>
      </c>
      <c r="B550" t="s">
        <v>7</v>
      </c>
      <c r="C550" t="s">
        <v>8</v>
      </c>
      <c r="D550" t="str">
        <f>"BYZQ077"</f>
        <v>BYZQ077</v>
      </c>
      <c r="E550" t="s">
        <v>565</v>
      </c>
      <c r="F550" t="s">
        <v>561</v>
      </c>
      <c r="G550">
        <v>2.1999999999999999E-2</v>
      </c>
      <c r="H550" t="s">
        <v>11</v>
      </c>
    </row>
    <row r="551" spans="1:8" x14ac:dyDescent="0.25">
      <c r="A551" t="str">
        <f t="shared" si="8"/>
        <v>31-Jul-18</v>
      </c>
      <c r="B551" t="s">
        <v>7</v>
      </c>
      <c r="C551" t="s">
        <v>8</v>
      </c>
      <c r="D551" t="str">
        <f>"BW9P816"</f>
        <v>BW9P816</v>
      </c>
      <c r="E551" t="s">
        <v>566</v>
      </c>
      <c r="F551" t="s">
        <v>561</v>
      </c>
      <c r="G551">
        <v>7.6999999999999999E-2</v>
      </c>
      <c r="H551" t="s">
        <v>11</v>
      </c>
    </row>
    <row r="552" spans="1:8" x14ac:dyDescent="0.25">
      <c r="A552" t="str">
        <f t="shared" si="8"/>
        <v>31-Jul-18</v>
      </c>
      <c r="B552" t="s">
        <v>7</v>
      </c>
      <c r="C552" t="s">
        <v>8</v>
      </c>
      <c r="D552" t="str">
        <f>"BYVS6J1"</f>
        <v>BYVS6J1</v>
      </c>
      <c r="E552" t="s">
        <v>567</v>
      </c>
      <c r="F552" t="s">
        <v>561</v>
      </c>
      <c r="G552">
        <v>5.0000000000000001E-3</v>
      </c>
      <c r="H552" t="s">
        <v>11</v>
      </c>
    </row>
    <row r="553" spans="1:8" x14ac:dyDescent="0.25">
      <c r="A553" t="str">
        <f t="shared" si="8"/>
        <v>31-Jul-18</v>
      </c>
      <c r="B553" t="s">
        <v>7</v>
      </c>
      <c r="C553" t="s">
        <v>8</v>
      </c>
      <c r="D553" t="str">
        <f>"6097017"</f>
        <v>6097017</v>
      </c>
      <c r="E553" t="s">
        <v>568</v>
      </c>
      <c r="F553" t="s">
        <v>561</v>
      </c>
      <c r="G553">
        <v>5.3999999999999999E-2</v>
      </c>
      <c r="H553" t="s">
        <v>11</v>
      </c>
    </row>
    <row r="554" spans="1:8" x14ac:dyDescent="0.25">
      <c r="A554" t="str">
        <f t="shared" si="8"/>
        <v>31-Jul-18</v>
      </c>
      <c r="B554" t="s">
        <v>7</v>
      </c>
      <c r="C554" t="s">
        <v>8</v>
      </c>
      <c r="D554" t="str">
        <f>"6465874"</f>
        <v>6465874</v>
      </c>
      <c r="E554" t="s">
        <v>569</v>
      </c>
      <c r="F554" t="s">
        <v>561</v>
      </c>
      <c r="G554">
        <v>4.1000000000000002E-2</v>
      </c>
      <c r="H554" t="s">
        <v>11</v>
      </c>
    </row>
    <row r="555" spans="1:8" x14ac:dyDescent="0.25">
      <c r="A555" t="str">
        <f t="shared" si="8"/>
        <v>31-Jul-18</v>
      </c>
      <c r="B555" t="s">
        <v>7</v>
      </c>
      <c r="C555" t="s">
        <v>8</v>
      </c>
      <c r="D555" t="str">
        <f>"BJ3WDZ1"</f>
        <v>BJ3WDZ1</v>
      </c>
      <c r="E555" t="s">
        <v>570</v>
      </c>
      <c r="F555" t="s">
        <v>561</v>
      </c>
      <c r="G555">
        <v>4.0000000000000001E-3</v>
      </c>
      <c r="H555" t="s">
        <v>11</v>
      </c>
    </row>
    <row r="556" spans="1:8" x14ac:dyDescent="0.25">
      <c r="A556" t="str">
        <f t="shared" si="8"/>
        <v>31-Jul-18</v>
      </c>
      <c r="B556" t="s">
        <v>7</v>
      </c>
      <c r="C556" t="s">
        <v>8</v>
      </c>
      <c r="D556" t="str">
        <f>"B4TXDZ3"</f>
        <v>B4TXDZ3</v>
      </c>
      <c r="E556" t="s">
        <v>571</v>
      </c>
      <c r="F556" t="s">
        <v>561</v>
      </c>
      <c r="G556">
        <v>5.0000000000000001E-3</v>
      </c>
      <c r="H556" t="s">
        <v>11</v>
      </c>
    </row>
    <row r="557" spans="1:8" x14ac:dyDescent="0.25">
      <c r="A557" t="str">
        <f t="shared" si="8"/>
        <v>31-Jul-18</v>
      </c>
      <c r="B557" t="s">
        <v>7</v>
      </c>
      <c r="C557" t="s">
        <v>8</v>
      </c>
      <c r="D557" t="str">
        <f>"6408352"</f>
        <v>6408352</v>
      </c>
      <c r="E557" t="s">
        <v>572</v>
      </c>
      <c r="F557" t="s">
        <v>561</v>
      </c>
      <c r="G557">
        <v>2E-3</v>
      </c>
      <c r="H557" t="s">
        <v>11</v>
      </c>
    </row>
    <row r="558" spans="1:8" x14ac:dyDescent="0.25">
      <c r="A558" t="str">
        <f t="shared" si="8"/>
        <v>31-Jul-18</v>
      </c>
      <c r="B558" t="s">
        <v>7</v>
      </c>
      <c r="C558" t="s">
        <v>8</v>
      </c>
      <c r="D558" t="str">
        <f>"6030506"</f>
        <v>6030506</v>
      </c>
      <c r="E558" t="s">
        <v>573</v>
      </c>
      <c r="F558" t="s">
        <v>561</v>
      </c>
      <c r="G558">
        <v>8.9999999999999993E-3</v>
      </c>
      <c r="H558" t="s">
        <v>11</v>
      </c>
    </row>
    <row r="559" spans="1:8" x14ac:dyDescent="0.25">
      <c r="A559" t="str">
        <f t="shared" si="8"/>
        <v>31-Jul-18</v>
      </c>
      <c r="B559" t="s">
        <v>7</v>
      </c>
      <c r="C559" t="s">
        <v>8</v>
      </c>
      <c r="D559" t="str">
        <f>"6408374"</f>
        <v>6408374</v>
      </c>
      <c r="E559" t="s">
        <v>574</v>
      </c>
      <c r="F559" t="s">
        <v>561</v>
      </c>
      <c r="G559">
        <v>8.6999999999999994E-2</v>
      </c>
      <c r="H559" t="s">
        <v>11</v>
      </c>
    </row>
    <row r="560" spans="1:8" x14ac:dyDescent="0.25">
      <c r="A560" t="str">
        <f t="shared" si="8"/>
        <v>31-Jul-18</v>
      </c>
      <c r="B560" t="s">
        <v>7</v>
      </c>
      <c r="C560" t="s">
        <v>8</v>
      </c>
      <c r="D560" t="str">
        <f>"6420538"</f>
        <v>6420538</v>
      </c>
      <c r="E560" t="s">
        <v>575</v>
      </c>
      <c r="F560" t="s">
        <v>561</v>
      </c>
      <c r="G560">
        <v>1.6E-2</v>
      </c>
      <c r="H560" t="s">
        <v>11</v>
      </c>
    </row>
    <row r="561" spans="1:8" x14ac:dyDescent="0.25">
      <c r="A561" t="str">
        <f t="shared" si="8"/>
        <v>31-Jul-18</v>
      </c>
      <c r="B561" t="s">
        <v>7</v>
      </c>
      <c r="C561" t="s">
        <v>8</v>
      </c>
      <c r="D561" t="str">
        <f>"6436557"</f>
        <v>6436557</v>
      </c>
      <c r="E561" t="s">
        <v>576</v>
      </c>
      <c r="F561" t="s">
        <v>561</v>
      </c>
      <c r="G561">
        <v>4.2999999999999997E-2</v>
      </c>
      <c r="H561" t="s">
        <v>11</v>
      </c>
    </row>
    <row r="562" spans="1:8" x14ac:dyDescent="0.25">
      <c r="A562" t="str">
        <f t="shared" si="8"/>
        <v>31-Jul-18</v>
      </c>
      <c r="B562" t="s">
        <v>7</v>
      </c>
      <c r="C562" t="s">
        <v>8</v>
      </c>
      <c r="D562" t="str">
        <f>"6267359"</f>
        <v>6267359</v>
      </c>
      <c r="E562" t="s">
        <v>577</v>
      </c>
      <c r="F562" t="s">
        <v>561</v>
      </c>
      <c r="G562">
        <v>0.129</v>
      </c>
      <c r="H562" t="s">
        <v>11</v>
      </c>
    </row>
    <row r="563" spans="1:8" x14ac:dyDescent="0.25">
      <c r="A563" t="str">
        <f t="shared" si="8"/>
        <v>31-Jul-18</v>
      </c>
      <c r="B563" t="s">
        <v>7</v>
      </c>
      <c r="C563" t="s">
        <v>8</v>
      </c>
      <c r="D563" t="str">
        <f>"6449629"</f>
        <v>6449629</v>
      </c>
      <c r="E563" t="s">
        <v>578</v>
      </c>
      <c r="F563" t="s">
        <v>561</v>
      </c>
      <c r="G563">
        <v>1.6E-2</v>
      </c>
      <c r="H563" t="s">
        <v>11</v>
      </c>
    </row>
    <row r="564" spans="1:8" x14ac:dyDescent="0.25">
      <c r="A564" t="str">
        <f t="shared" si="8"/>
        <v>31-Jul-18</v>
      </c>
      <c r="B564" t="s">
        <v>7</v>
      </c>
      <c r="C564" t="s">
        <v>8</v>
      </c>
      <c r="D564" t="str">
        <f>"6486314"</f>
        <v>6486314</v>
      </c>
      <c r="E564" t="s">
        <v>579</v>
      </c>
      <c r="F564" t="s">
        <v>561</v>
      </c>
      <c r="G564">
        <v>3.0000000000000001E-3</v>
      </c>
      <c r="H564" t="s">
        <v>11</v>
      </c>
    </row>
    <row r="565" spans="1:8" x14ac:dyDescent="0.25">
      <c r="A565" t="str">
        <f t="shared" si="8"/>
        <v>31-Jul-18</v>
      </c>
      <c r="B565" t="s">
        <v>7</v>
      </c>
      <c r="C565" t="s">
        <v>8</v>
      </c>
      <c r="D565" t="str">
        <f>"6286257"</f>
        <v>6286257</v>
      </c>
      <c r="E565" t="s">
        <v>580</v>
      </c>
      <c r="F565" t="s">
        <v>561</v>
      </c>
      <c r="G565">
        <v>4.0000000000000001E-3</v>
      </c>
      <c r="H565" t="s">
        <v>11</v>
      </c>
    </row>
    <row r="566" spans="1:8" x14ac:dyDescent="0.25">
      <c r="A566" t="str">
        <f t="shared" si="8"/>
        <v>31-Jul-18</v>
      </c>
      <c r="B566" t="s">
        <v>7</v>
      </c>
      <c r="C566" t="s">
        <v>8</v>
      </c>
      <c r="D566" t="str">
        <f>"B0PB4M7"</f>
        <v>B0PB4M7</v>
      </c>
      <c r="E566" t="s">
        <v>581</v>
      </c>
      <c r="F566" t="s">
        <v>561</v>
      </c>
      <c r="G566">
        <v>4.7E-2</v>
      </c>
      <c r="H566" t="s">
        <v>11</v>
      </c>
    </row>
    <row r="567" spans="1:8" x14ac:dyDescent="0.25">
      <c r="A567" t="str">
        <f t="shared" si="8"/>
        <v>31-Jul-18</v>
      </c>
      <c r="B567" t="s">
        <v>7</v>
      </c>
      <c r="C567" t="s">
        <v>8</v>
      </c>
      <c r="D567" t="str">
        <f>"B4P8HQ1"</f>
        <v>B4P8HQ1</v>
      </c>
      <c r="E567" t="s">
        <v>582</v>
      </c>
      <c r="F567" t="s">
        <v>561</v>
      </c>
      <c r="G567">
        <v>2E-3</v>
      </c>
      <c r="H567" t="s">
        <v>11</v>
      </c>
    </row>
    <row r="568" spans="1:8" x14ac:dyDescent="0.25">
      <c r="A568" t="str">
        <f t="shared" si="8"/>
        <v>31-Jul-18</v>
      </c>
      <c r="B568" t="s">
        <v>7</v>
      </c>
      <c r="C568" t="s">
        <v>8</v>
      </c>
      <c r="D568" t="str">
        <f>"6290054"</f>
        <v>6290054</v>
      </c>
      <c r="E568" t="s">
        <v>583</v>
      </c>
      <c r="F568" t="s">
        <v>561</v>
      </c>
      <c r="G568">
        <v>4.2999999999999997E-2</v>
      </c>
      <c r="H568" t="s">
        <v>11</v>
      </c>
    </row>
    <row r="569" spans="1:8" x14ac:dyDescent="0.25">
      <c r="A569" t="str">
        <f t="shared" si="8"/>
        <v>31-Jul-18</v>
      </c>
      <c r="B569" t="s">
        <v>7</v>
      </c>
      <c r="C569" t="s">
        <v>8</v>
      </c>
      <c r="D569" t="str">
        <f>"6568353"</f>
        <v>6568353</v>
      </c>
      <c r="E569" t="s">
        <v>584</v>
      </c>
      <c r="F569" t="s">
        <v>561</v>
      </c>
      <c r="G569">
        <v>0.01</v>
      </c>
      <c r="H569" t="s">
        <v>11</v>
      </c>
    </row>
    <row r="570" spans="1:8" x14ac:dyDescent="0.25">
      <c r="A570" t="str">
        <f t="shared" si="8"/>
        <v>31-Jul-18</v>
      </c>
      <c r="B570" t="s">
        <v>7</v>
      </c>
      <c r="C570" t="s">
        <v>8</v>
      </c>
      <c r="D570" t="str">
        <f>"6633767"</f>
        <v>6633767</v>
      </c>
      <c r="E570" t="s">
        <v>585</v>
      </c>
      <c r="F570" t="s">
        <v>561</v>
      </c>
      <c r="G570">
        <v>1.0999999999999999E-2</v>
      </c>
      <c r="H570" t="s">
        <v>11</v>
      </c>
    </row>
    <row r="571" spans="1:8" x14ac:dyDescent="0.25">
      <c r="A571" t="str">
        <f t="shared" si="8"/>
        <v>31-Jul-18</v>
      </c>
      <c r="B571" t="s">
        <v>7</v>
      </c>
      <c r="C571" t="s">
        <v>8</v>
      </c>
      <c r="D571" t="str">
        <f>"6574071"</f>
        <v>6574071</v>
      </c>
      <c r="E571" t="s">
        <v>586</v>
      </c>
      <c r="F571" t="s">
        <v>561</v>
      </c>
      <c r="G571">
        <v>3.0000000000000001E-3</v>
      </c>
      <c r="H571" t="s">
        <v>11</v>
      </c>
    </row>
    <row r="572" spans="1:8" x14ac:dyDescent="0.25">
      <c r="A572" t="str">
        <f t="shared" si="8"/>
        <v>31-Jul-18</v>
      </c>
      <c r="B572" t="s">
        <v>7</v>
      </c>
      <c r="C572" t="s">
        <v>8</v>
      </c>
      <c r="D572" t="str">
        <f>"6435327"</f>
        <v>6435327</v>
      </c>
      <c r="E572" t="s">
        <v>587</v>
      </c>
      <c r="F572" t="s">
        <v>561</v>
      </c>
      <c r="G572">
        <v>2.7E-2</v>
      </c>
      <c r="H572" t="s">
        <v>11</v>
      </c>
    </row>
    <row r="573" spans="1:8" x14ac:dyDescent="0.25">
      <c r="A573" t="str">
        <f t="shared" si="8"/>
        <v>31-Jul-18</v>
      </c>
      <c r="B573" t="s">
        <v>7</v>
      </c>
      <c r="C573" t="s">
        <v>8</v>
      </c>
      <c r="D573" t="str">
        <f>"B2NR3Y6"</f>
        <v>B2NR3Y6</v>
      </c>
      <c r="E573" t="s">
        <v>588</v>
      </c>
      <c r="F573" t="s">
        <v>561</v>
      </c>
      <c r="G573">
        <v>2E-3</v>
      </c>
      <c r="H573" t="s">
        <v>11</v>
      </c>
    </row>
    <row r="574" spans="1:8" x14ac:dyDescent="0.25">
      <c r="A574" t="str">
        <f t="shared" si="8"/>
        <v>31-Jul-18</v>
      </c>
      <c r="B574" t="s">
        <v>7</v>
      </c>
      <c r="C574" t="s">
        <v>8</v>
      </c>
      <c r="D574" t="str">
        <f>"B5B23W2"</f>
        <v>B5B23W2</v>
      </c>
      <c r="E574" t="s">
        <v>589</v>
      </c>
      <c r="F574" t="s">
        <v>561</v>
      </c>
      <c r="G574">
        <v>4.2000000000000003E-2</v>
      </c>
      <c r="H574" t="s">
        <v>11</v>
      </c>
    </row>
    <row r="575" spans="1:8" x14ac:dyDescent="0.25">
      <c r="A575" t="str">
        <f t="shared" si="8"/>
        <v>31-Jul-18</v>
      </c>
      <c r="B575" t="s">
        <v>7</v>
      </c>
      <c r="C575" t="s">
        <v>8</v>
      </c>
      <c r="D575" t="str">
        <f>"6771032"</f>
        <v>6771032</v>
      </c>
      <c r="E575" t="s">
        <v>590</v>
      </c>
      <c r="F575" t="s">
        <v>561</v>
      </c>
      <c r="G575">
        <v>4.0000000000000001E-3</v>
      </c>
      <c r="H575" t="s">
        <v>11</v>
      </c>
    </row>
    <row r="576" spans="1:8" x14ac:dyDescent="0.25">
      <c r="A576" t="str">
        <f t="shared" si="8"/>
        <v>31-Jul-18</v>
      </c>
      <c r="B576" t="s">
        <v>7</v>
      </c>
      <c r="C576" t="s">
        <v>8</v>
      </c>
      <c r="D576" t="str">
        <f>"6810429"</f>
        <v>6810429</v>
      </c>
      <c r="E576" t="s">
        <v>591</v>
      </c>
      <c r="F576" t="s">
        <v>561</v>
      </c>
      <c r="G576">
        <v>0.01</v>
      </c>
      <c r="H576" t="s">
        <v>11</v>
      </c>
    </row>
    <row r="577" spans="1:8" x14ac:dyDescent="0.25">
      <c r="A577" t="str">
        <f t="shared" si="8"/>
        <v>31-Jul-18</v>
      </c>
      <c r="B577" t="s">
        <v>7</v>
      </c>
      <c r="C577" t="s">
        <v>8</v>
      </c>
      <c r="D577" t="str">
        <f>"6859927"</f>
        <v>6859927</v>
      </c>
      <c r="E577" t="s">
        <v>592</v>
      </c>
      <c r="F577" t="s">
        <v>561</v>
      </c>
      <c r="G577">
        <v>4.9000000000000002E-2</v>
      </c>
      <c r="H577" t="s">
        <v>11</v>
      </c>
    </row>
    <row r="578" spans="1:8" x14ac:dyDescent="0.25">
      <c r="A578" t="str">
        <f t="shared" ref="A578:A641" si="9">"31-Jul-18"</f>
        <v>31-Jul-18</v>
      </c>
      <c r="B578" t="s">
        <v>7</v>
      </c>
      <c r="C578" t="s">
        <v>8</v>
      </c>
      <c r="D578" t="str">
        <f>"6867748"</f>
        <v>6867748</v>
      </c>
      <c r="E578" t="s">
        <v>593</v>
      </c>
      <c r="F578" t="s">
        <v>561</v>
      </c>
      <c r="G578">
        <v>1.9E-2</v>
      </c>
      <c r="H578" t="s">
        <v>11</v>
      </c>
    </row>
    <row r="579" spans="1:8" x14ac:dyDescent="0.25">
      <c r="A579" t="str">
        <f t="shared" si="9"/>
        <v>31-Jul-18</v>
      </c>
      <c r="B579" t="s">
        <v>7</v>
      </c>
      <c r="C579" t="s">
        <v>8</v>
      </c>
      <c r="D579" t="str">
        <f>"B67C2G0"</f>
        <v>B67C2G0</v>
      </c>
      <c r="E579" t="s">
        <v>594</v>
      </c>
      <c r="F579" t="s">
        <v>561</v>
      </c>
      <c r="G579">
        <v>1.7999999999999999E-2</v>
      </c>
      <c r="H579" t="s">
        <v>11</v>
      </c>
    </row>
    <row r="580" spans="1:8" x14ac:dyDescent="0.25">
      <c r="A580" t="str">
        <f t="shared" si="9"/>
        <v>31-Jul-18</v>
      </c>
      <c r="B580" t="s">
        <v>7</v>
      </c>
      <c r="C580" t="s">
        <v>8</v>
      </c>
      <c r="D580" t="str">
        <f>"B0190C7"</f>
        <v>B0190C7</v>
      </c>
      <c r="E580" t="s">
        <v>595</v>
      </c>
      <c r="F580" t="s">
        <v>561</v>
      </c>
      <c r="G580">
        <v>1.7000000000000001E-2</v>
      </c>
      <c r="H580" t="s">
        <v>11</v>
      </c>
    </row>
    <row r="581" spans="1:8" x14ac:dyDescent="0.25">
      <c r="A581" t="str">
        <f t="shared" si="9"/>
        <v>31-Jul-18</v>
      </c>
      <c r="B581" t="s">
        <v>7</v>
      </c>
      <c r="C581" t="s">
        <v>8</v>
      </c>
      <c r="D581" t="str">
        <f>"BLLHKZ1"</f>
        <v>BLLHKZ1</v>
      </c>
      <c r="E581" t="s">
        <v>596</v>
      </c>
      <c r="F581" t="s">
        <v>561</v>
      </c>
      <c r="G581">
        <v>1.4E-2</v>
      </c>
      <c r="H581" t="s">
        <v>11</v>
      </c>
    </row>
    <row r="582" spans="1:8" x14ac:dyDescent="0.25">
      <c r="A582" t="str">
        <f t="shared" si="9"/>
        <v>31-Jul-18</v>
      </c>
      <c r="B582" t="s">
        <v>7</v>
      </c>
      <c r="C582" t="s">
        <v>8</v>
      </c>
      <c r="D582" t="str">
        <f>"6435576"</f>
        <v>6435576</v>
      </c>
      <c r="E582" t="s">
        <v>597</v>
      </c>
      <c r="F582" t="s">
        <v>561</v>
      </c>
      <c r="G582">
        <v>8.0000000000000002E-3</v>
      </c>
      <c r="H582" t="s">
        <v>11</v>
      </c>
    </row>
    <row r="583" spans="1:8" x14ac:dyDescent="0.25">
      <c r="A583" t="str">
        <f t="shared" si="9"/>
        <v>31-Jul-18</v>
      </c>
      <c r="B583" t="s">
        <v>7</v>
      </c>
      <c r="C583" t="s">
        <v>8</v>
      </c>
      <c r="D583" t="str">
        <f>"BF0GWS4"</f>
        <v>BF0GWS4</v>
      </c>
      <c r="E583" t="s">
        <v>598</v>
      </c>
      <c r="F583" t="s">
        <v>561</v>
      </c>
      <c r="G583">
        <v>7.0000000000000001E-3</v>
      </c>
      <c r="H583" t="s">
        <v>11</v>
      </c>
    </row>
    <row r="584" spans="1:8" x14ac:dyDescent="0.25">
      <c r="A584" t="str">
        <f t="shared" si="9"/>
        <v>31-Jul-18</v>
      </c>
      <c r="B584" t="s">
        <v>7</v>
      </c>
      <c r="C584" t="s">
        <v>8</v>
      </c>
      <c r="D584" t="str">
        <f>"6981488"</f>
        <v>6981488</v>
      </c>
      <c r="E584" t="s">
        <v>599</v>
      </c>
      <c r="F584" t="s">
        <v>561</v>
      </c>
      <c r="G584">
        <v>1.4E-2</v>
      </c>
      <c r="H584" t="s">
        <v>11</v>
      </c>
    </row>
    <row r="585" spans="1:8" x14ac:dyDescent="0.25">
      <c r="A585" t="str">
        <f t="shared" si="9"/>
        <v>31-Jul-18</v>
      </c>
      <c r="B585" t="s">
        <v>7</v>
      </c>
      <c r="C585" t="s">
        <v>8</v>
      </c>
      <c r="D585" t="str">
        <f>"B4JSTL6"</f>
        <v>B4JSTL6</v>
      </c>
      <c r="E585" t="s">
        <v>600</v>
      </c>
      <c r="F585" t="s">
        <v>561</v>
      </c>
      <c r="G585">
        <v>8.9999999999999993E-3</v>
      </c>
      <c r="H585" t="s">
        <v>11</v>
      </c>
    </row>
    <row r="586" spans="1:8" x14ac:dyDescent="0.25">
      <c r="A586" t="str">
        <f t="shared" si="9"/>
        <v>31-Jul-18</v>
      </c>
      <c r="B586" t="s">
        <v>7</v>
      </c>
      <c r="C586" t="s">
        <v>8</v>
      </c>
      <c r="D586" t="str">
        <f>"6586537"</f>
        <v>6586537</v>
      </c>
      <c r="E586" t="s">
        <v>601</v>
      </c>
      <c r="F586" t="s">
        <v>561</v>
      </c>
      <c r="G586">
        <v>3.0000000000000001E-3</v>
      </c>
      <c r="H586" t="s">
        <v>11</v>
      </c>
    </row>
    <row r="587" spans="1:8" x14ac:dyDescent="0.25">
      <c r="A587" t="str">
        <f t="shared" si="9"/>
        <v>31-Jul-18</v>
      </c>
      <c r="B587" t="s">
        <v>7</v>
      </c>
      <c r="C587" t="s">
        <v>75</v>
      </c>
      <c r="F587" t="s">
        <v>561</v>
      </c>
      <c r="G587">
        <v>1.2999999999999999E-2</v>
      </c>
      <c r="H587" t="s">
        <v>221</v>
      </c>
    </row>
    <row r="588" spans="1:8" x14ac:dyDescent="0.25">
      <c r="A588" t="str">
        <f t="shared" si="9"/>
        <v>31-Jul-18</v>
      </c>
      <c r="B588" t="s">
        <v>7</v>
      </c>
      <c r="C588" t="s">
        <v>8</v>
      </c>
      <c r="D588" t="str">
        <f>"B5MN1W0"</f>
        <v>B5MN1W0</v>
      </c>
      <c r="E588" t="s">
        <v>602</v>
      </c>
      <c r="F588" t="s">
        <v>603</v>
      </c>
      <c r="G588">
        <v>7.0000000000000001E-3</v>
      </c>
      <c r="H588" t="s">
        <v>11</v>
      </c>
    </row>
    <row r="589" spans="1:8" x14ac:dyDescent="0.25">
      <c r="A589" t="str">
        <f t="shared" si="9"/>
        <v>31-Jul-18</v>
      </c>
      <c r="B589" t="s">
        <v>7</v>
      </c>
      <c r="C589" t="s">
        <v>8</v>
      </c>
      <c r="D589" t="str">
        <f>"6098032"</f>
        <v>6098032</v>
      </c>
      <c r="E589" t="s">
        <v>604</v>
      </c>
      <c r="F589" t="s">
        <v>603</v>
      </c>
      <c r="G589">
        <v>5.0000000000000001E-3</v>
      </c>
      <c r="H589" t="s">
        <v>11</v>
      </c>
    </row>
    <row r="590" spans="1:8" x14ac:dyDescent="0.25">
      <c r="A590" t="str">
        <f t="shared" si="9"/>
        <v>31-Jul-18</v>
      </c>
      <c r="B590" t="s">
        <v>7</v>
      </c>
      <c r="C590" t="s">
        <v>8</v>
      </c>
      <c r="D590" t="str">
        <f>"6075808"</f>
        <v>6075808</v>
      </c>
      <c r="E590" t="s">
        <v>605</v>
      </c>
      <c r="F590" t="s">
        <v>603</v>
      </c>
      <c r="G590">
        <v>3.5000000000000003E-2</v>
      </c>
      <c r="H590" t="s">
        <v>11</v>
      </c>
    </row>
    <row r="591" spans="1:8" x14ac:dyDescent="0.25">
      <c r="A591" t="str">
        <f t="shared" si="9"/>
        <v>31-Jul-18</v>
      </c>
      <c r="B591" t="s">
        <v>7</v>
      </c>
      <c r="C591" t="s">
        <v>8</v>
      </c>
      <c r="D591" t="str">
        <f>"6076425"</f>
        <v>6076425</v>
      </c>
      <c r="E591" t="s">
        <v>606</v>
      </c>
      <c r="F591" t="s">
        <v>603</v>
      </c>
      <c r="G591">
        <v>1.7999999999999999E-2</v>
      </c>
      <c r="H591" t="s">
        <v>11</v>
      </c>
    </row>
    <row r="592" spans="1:8" x14ac:dyDescent="0.25">
      <c r="A592" t="str">
        <f t="shared" si="9"/>
        <v>31-Jul-18</v>
      </c>
      <c r="B592" t="s">
        <v>7</v>
      </c>
      <c r="C592" t="s">
        <v>8</v>
      </c>
      <c r="D592" t="str">
        <f>"6308913"</f>
        <v>6308913</v>
      </c>
      <c r="E592" t="s">
        <v>607</v>
      </c>
      <c r="F592" t="s">
        <v>603</v>
      </c>
      <c r="G592">
        <v>2.1000000000000001E-2</v>
      </c>
      <c r="H592" t="s">
        <v>11</v>
      </c>
    </row>
    <row r="593" spans="1:8" x14ac:dyDescent="0.25">
      <c r="A593" t="str">
        <f t="shared" si="9"/>
        <v>31-Jul-18</v>
      </c>
      <c r="B593" t="s">
        <v>7</v>
      </c>
      <c r="C593" t="s">
        <v>8</v>
      </c>
      <c r="D593" t="str">
        <f>"6353418"</f>
        <v>6353418</v>
      </c>
      <c r="E593" t="s">
        <v>608</v>
      </c>
      <c r="F593" t="s">
        <v>603</v>
      </c>
      <c r="G593">
        <v>8.9999999999999993E-3</v>
      </c>
      <c r="H593" t="s">
        <v>11</v>
      </c>
    </row>
    <row r="594" spans="1:8" x14ac:dyDescent="0.25">
      <c r="A594" t="str">
        <f t="shared" si="9"/>
        <v>31-Jul-18</v>
      </c>
      <c r="B594" t="s">
        <v>7</v>
      </c>
      <c r="C594" t="s">
        <v>8</v>
      </c>
      <c r="D594" t="str">
        <f>"6455530"</f>
        <v>6455530</v>
      </c>
      <c r="E594" t="s">
        <v>609</v>
      </c>
      <c r="F594" t="s">
        <v>603</v>
      </c>
      <c r="G594">
        <v>7.0000000000000001E-3</v>
      </c>
      <c r="H594" t="s">
        <v>11</v>
      </c>
    </row>
    <row r="595" spans="1:8" x14ac:dyDescent="0.25">
      <c r="A595" t="str">
        <f t="shared" si="9"/>
        <v>31-Jul-18</v>
      </c>
      <c r="B595" t="s">
        <v>7</v>
      </c>
      <c r="C595" t="s">
        <v>8</v>
      </c>
      <c r="D595" t="str">
        <f>"6916703"</f>
        <v>6916703</v>
      </c>
      <c r="E595" t="s">
        <v>610</v>
      </c>
      <c r="F595" t="s">
        <v>603</v>
      </c>
      <c r="G595">
        <v>3.0000000000000001E-3</v>
      </c>
      <c r="H595" t="s">
        <v>11</v>
      </c>
    </row>
    <row r="596" spans="1:8" x14ac:dyDescent="0.25">
      <c r="A596" t="str">
        <f t="shared" si="9"/>
        <v>31-Jul-18</v>
      </c>
      <c r="B596" t="s">
        <v>7</v>
      </c>
      <c r="C596" t="s">
        <v>8</v>
      </c>
      <c r="D596" t="str">
        <f>"6647133"</f>
        <v>6647133</v>
      </c>
      <c r="E596" t="s">
        <v>611</v>
      </c>
      <c r="F596" t="s">
        <v>603</v>
      </c>
      <c r="G596">
        <v>8.0000000000000002E-3</v>
      </c>
      <c r="H596" t="s">
        <v>11</v>
      </c>
    </row>
    <row r="597" spans="1:8" x14ac:dyDescent="0.25">
      <c r="A597" t="str">
        <f t="shared" si="9"/>
        <v>31-Jul-18</v>
      </c>
      <c r="B597" t="s">
        <v>7</v>
      </c>
      <c r="C597" t="s">
        <v>8</v>
      </c>
      <c r="D597" t="str">
        <f>"6882172"</f>
        <v>6882172</v>
      </c>
      <c r="E597" t="s">
        <v>612</v>
      </c>
      <c r="F597" t="s">
        <v>603</v>
      </c>
      <c r="G597">
        <v>2.3E-2</v>
      </c>
      <c r="H597" t="s">
        <v>11</v>
      </c>
    </row>
    <row r="598" spans="1:8" x14ac:dyDescent="0.25">
      <c r="A598" t="str">
        <f t="shared" si="9"/>
        <v>31-Jul-18</v>
      </c>
      <c r="B598" t="s">
        <v>7</v>
      </c>
      <c r="C598" t="s">
        <v>75</v>
      </c>
      <c r="F598" t="s">
        <v>603</v>
      </c>
      <c r="G598">
        <v>3.0000000000000001E-3</v>
      </c>
      <c r="H598" t="s">
        <v>613</v>
      </c>
    </row>
    <row r="599" spans="1:8" x14ac:dyDescent="0.25">
      <c r="A599" t="str">
        <f t="shared" si="9"/>
        <v>31-Jul-18</v>
      </c>
      <c r="B599" t="s">
        <v>7</v>
      </c>
      <c r="C599" t="s">
        <v>8</v>
      </c>
      <c r="D599" t="str">
        <f>"6037734"</f>
        <v>6037734</v>
      </c>
      <c r="E599" t="s">
        <v>614</v>
      </c>
      <c r="F599" t="s">
        <v>615</v>
      </c>
      <c r="G599">
        <v>6.0000000000000001E-3</v>
      </c>
      <c r="H599" t="s">
        <v>11</v>
      </c>
    </row>
    <row r="600" spans="1:8" x14ac:dyDescent="0.25">
      <c r="A600" t="str">
        <f t="shared" si="9"/>
        <v>31-Jul-18</v>
      </c>
      <c r="B600" t="s">
        <v>7</v>
      </c>
      <c r="C600" t="s">
        <v>8</v>
      </c>
      <c r="D600" t="str">
        <f>"6055208"</f>
        <v>6055208</v>
      </c>
      <c r="E600" t="s">
        <v>616</v>
      </c>
      <c r="F600" t="s">
        <v>615</v>
      </c>
      <c r="G600">
        <v>1.4E-2</v>
      </c>
      <c r="H600" t="s">
        <v>11</v>
      </c>
    </row>
    <row r="601" spans="1:8" x14ac:dyDescent="0.25">
      <c r="A601" t="str">
        <f t="shared" si="9"/>
        <v>31-Jul-18</v>
      </c>
      <c r="B601" t="s">
        <v>7</v>
      </c>
      <c r="C601" t="s">
        <v>8</v>
      </c>
      <c r="D601" t="str">
        <f>"6014908"</f>
        <v>6014908</v>
      </c>
      <c r="E601" t="s">
        <v>617</v>
      </c>
      <c r="F601" t="s">
        <v>615</v>
      </c>
      <c r="G601">
        <v>8.0000000000000002E-3</v>
      </c>
      <c r="H601" t="s">
        <v>11</v>
      </c>
    </row>
    <row r="602" spans="1:8" x14ac:dyDescent="0.25">
      <c r="A602" t="str">
        <f t="shared" si="9"/>
        <v>31-Jul-18</v>
      </c>
      <c r="B602" t="s">
        <v>7</v>
      </c>
      <c r="C602" t="s">
        <v>8</v>
      </c>
      <c r="D602" t="str">
        <f>"6480048"</f>
        <v>6480048</v>
      </c>
      <c r="E602" t="s">
        <v>618</v>
      </c>
      <c r="F602" t="s">
        <v>615</v>
      </c>
      <c r="G602">
        <v>5.3999999999999999E-2</v>
      </c>
      <c r="H602" t="s">
        <v>11</v>
      </c>
    </row>
    <row r="603" spans="1:8" x14ac:dyDescent="0.25">
      <c r="A603" t="str">
        <f t="shared" si="9"/>
        <v>31-Jul-18</v>
      </c>
      <c r="B603" t="s">
        <v>7</v>
      </c>
      <c r="C603" t="s">
        <v>8</v>
      </c>
      <c r="D603" t="str">
        <f>"6534202"</f>
        <v>6534202</v>
      </c>
      <c r="E603" t="s">
        <v>619</v>
      </c>
      <c r="F603" t="s">
        <v>615</v>
      </c>
      <c r="G603">
        <v>2E-3</v>
      </c>
      <c r="H603" t="s">
        <v>11</v>
      </c>
    </row>
    <row r="604" spans="1:8" x14ac:dyDescent="0.25">
      <c r="A604" t="str">
        <f t="shared" si="9"/>
        <v>31-Jul-18</v>
      </c>
      <c r="B604" t="s">
        <v>7</v>
      </c>
      <c r="C604" t="s">
        <v>8</v>
      </c>
      <c r="D604" t="str">
        <f>"6441465"</f>
        <v>6441465</v>
      </c>
      <c r="E604" t="s">
        <v>620</v>
      </c>
      <c r="F604" t="s">
        <v>615</v>
      </c>
      <c r="G604">
        <v>1E-3</v>
      </c>
      <c r="H604" t="s">
        <v>11</v>
      </c>
    </row>
    <row r="605" spans="1:8" x14ac:dyDescent="0.25">
      <c r="A605" t="str">
        <f t="shared" si="9"/>
        <v>31-Jul-18</v>
      </c>
      <c r="B605" t="s">
        <v>7</v>
      </c>
      <c r="C605" t="s">
        <v>8</v>
      </c>
      <c r="D605" t="str">
        <f>"6010702"</f>
        <v>6010702</v>
      </c>
      <c r="E605" t="s">
        <v>621</v>
      </c>
      <c r="F605" t="s">
        <v>615</v>
      </c>
      <c r="G605">
        <v>1.6E-2</v>
      </c>
      <c r="H605" t="s">
        <v>11</v>
      </c>
    </row>
    <row r="606" spans="1:8" x14ac:dyDescent="0.25">
      <c r="A606" t="str">
        <f t="shared" si="9"/>
        <v>31-Jul-18</v>
      </c>
      <c r="B606" t="s">
        <v>7</v>
      </c>
      <c r="C606" t="s">
        <v>8</v>
      </c>
      <c r="D606" t="str">
        <f>"6010906"</f>
        <v>6010906</v>
      </c>
      <c r="E606" t="s">
        <v>622</v>
      </c>
      <c r="F606" t="s">
        <v>615</v>
      </c>
      <c r="G606">
        <v>1.9E-2</v>
      </c>
      <c r="H606" t="s">
        <v>11</v>
      </c>
    </row>
    <row r="607" spans="1:8" x14ac:dyDescent="0.25">
      <c r="A607" t="str">
        <f t="shared" si="9"/>
        <v>31-Jul-18</v>
      </c>
      <c r="B607" t="s">
        <v>7</v>
      </c>
      <c r="C607" t="s">
        <v>8</v>
      </c>
      <c r="D607" t="str">
        <f>"6687214"</f>
        <v>6687214</v>
      </c>
      <c r="E607" t="s">
        <v>623</v>
      </c>
      <c r="F607" t="s">
        <v>615</v>
      </c>
      <c r="G607">
        <v>1.0999999999999999E-2</v>
      </c>
      <c r="H607" t="s">
        <v>11</v>
      </c>
    </row>
    <row r="608" spans="1:8" x14ac:dyDescent="0.25">
      <c r="A608" t="str">
        <f t="shared" si="9"/>
        <v>31-Jul-18</v>
      </c>
      <c r="B608" t="s">
        <v>7</v>
      </c>
      <c r="C608" t="s">
        <v>8</v>
      </c>
      <c r="D608" t="str">
        <f>"6021500"</f>
        <v>6021500</v>
      </c>
      <c r="E608" t="s">
        <v>624</v>
      </c>
      <c r="F608" t="s">
        <v>615</v>
      </c>
      <c r="G608">
        <v>3.0000000000000001E-3</v>
      </c>
      <c r="H608" t="s">
        <v>11</v>
      </c>
    </row>
    <row r="609" spans="1:8" x14ac:dyDescent="0.25">
      <c r="A609" t="str">
        <f t="shared" si="9"/>
        <v>31-Jul-18</v>
      </c>
      <c r="B609" t="s">
        <v>7</v>
      </c>
      <c r="C609" t="s">
        <v>8</v>
      </c>
      <c r="D609" t="str">
        <f>"6022105"</f>
        <v>6022105</v>
      </c>
      <c r="E609" t="s">
        <v>625</v>
      </c>
      <c r="F609" t="s">
        <v>615</v>
      </c>
      <c r="G609">
        <v>8.9999999999999993E-3</v>
      </c>
      <c r="H609" t="s">
        <v>11</v>
      </c>
    </row>
    <row r="610" spans="1:8" x14ac:dyDescent="0.25">
      <c r="A610" t="str">
        <f t="shared" si="9"/>
        <v>31-Jul-18</v>
      </c>
      <c r="B610" t="s">
        <v>7</v>
      </c>
      <c r="C610" t="s">
        <v>8</v>
      </c>
      <c r="D610" t="str">
        <f>"B1G1854"</f>
        <v>B1G1854</v>
      </c>
      <c r="E610" t="s">
        <v>626</v>
      </c>
      <c r="F610" t="s">
        <v>615</v>
      </c>
      <c r="G610">
        <v>6.0000000000000001E-3</v>
      </c>
      <c r="H610" t="s">
        <v>11</v>
      </c>
    </row>
    <row r="611" spans="1:8" x14ac:dyDescent="0.25">
      <c r="A611" t="str">
        <f t="shared" si="9"/>
        <v>31-Jul-18</v>
      </c>
      <c r="B611" t="s">
        <v>7</v>
      </c>
      <c r="C611" t="s">
        <v>8</v>
      </c>
      <c r="D611" t="str">
        <f>"6054409"</f>
        <v>6054409</v>
      </c>
      <c r="E611" t="s">
        <v>627</v>
      </c>
      <c r="F611" t="s">
        <v>615</v>
      </c>
      <c r="G611">
        <v>3.7999999999999999E-2</v>
      </c>
      <c r="H611" t="s">
        <v>11</v>
      </c>
    </row>
    <row r="612" spans="1:8" x14ac:dyDescent="0.25">
      <c r="A612" t="str">
        <f t="shared" si="9"/>
        <v>31-Jul-18</v>
      </c>
      <c r="B612" t="s">
        <v>7</v>
      </c>
      <c r="C612" t="s">
        <v>8</v>
      </c>
      <c r="D612" t="str">
        <f>"6054603"</f>
        <v>6054603</v>
      </c>
      <c r="E612" t="s">
        <v>628</v>
      </c>
      <c r="F612" t="s">
        <v>615</v>
      </c>
      <c r="G612">
        <v>6.9000000000000006E-2</v>
      </c>
      <c r="H612" t="s">
        <v>11</v>
      </c>
    </row>
    <row r="613" spans="1:8" x14ac:dyDescent="0.25">
      <c r="A613" t="str">
        <f t="shared" si="9"/>
        <v>31-Jul-18</v>
      </c>
      <c r="B613" t="s">
        <v>7</v>
      </c>
      <c r="C613" t="s">
        <v>8</v>
      </c>
      <c r="D613" t="str">
        <f>"6057378"</f>
        <v>6057378</v>
      </c>
      <c r="E613" t="s">
        <v>629</v>
      </c>
      <c r="F613" t="s">
        <v>615</v>
      </c>
      <c r="G613">
        <v>8.9999999999999993E-3</v>
      </c>
      <c r="H613" t="s">
        <v>11</v>
      </c>
    </row>
    <row r="614" spans="1:8" x14ac:dyDescent="0.25">
      <c r="A614" t="str">
        <f t="shared" si="9"/>
        <v>31-Jul-18</v>
      </c>
      <c r="B614" t="s">
        <v>7</v>
      </c>
      <c r="C614" t="s">
        <v>8</v>
      </c>
      <c r="D614" t="str">
        <f>"6985383"</f>
        <v>6985383</v>
      </c>
      <c r="E614" t="s">
        <v>630</v>
      </c>
      <c r="F614" t="s">
        <v>615</v>
      </c>
      <c r="G614">
        <v>0.14799999999999999</v>
      </c>
      <c r="H614" t="s">
        <v>11</v>
      </c>
    </row>
    <row r="615" spans="1:8" x14ac:dyDescent="0.25">
      <c r="A615" t="str">
        <f t="shared" si="9"/>
        <v>31-Jul-18</v>
      </c>
      <c r="B615" t="s">
        <v>7</v>
      </c>
      <c r="C615" t="s">
        <v>8</v>
      </c>
      <c r="D615" t="str">
        <f>"B0JDQD4"</f>
        <v>B0JDQD4</v>
      </c>
      <c r="E615" t="s">
        <v>631</v>
      </c>
      <c r="F615" t="s">
        <v>615</v>
      </c>
      <c r="G615">
        <v>8.9999999999999993E-3</v>
      </c>
      <c r="H615" t="s">
        <v>11</v>
      </c>
    </row>
    <row r="616" spans="1:8" x14ac:dyDescent="0.25">
      <c r="A616" t="str">
        <f t="shared" si="9"/>
        <v>31-Jul-18</v>
      </c>
      <c r="B616" t="s">
        <v>7</v>
      </c>
      <c r="C616" t="s">
        <v>8</v>
      </c>
      <c r="D616" t="str">
        <f>"6121927"</f>
        <v>6121927</v>
      </c>
      <c r="E616" t="s">
        <v>632</v>
      </c>
      <c r="F616" t="s">
        <v>615</v>
      </c>
      <c r="G616">
        <v>5.0000000000000001E-3</v>
      </c>
      <c r="H616" t="s">
        <v>11</v>
      </c>
    </row>
    <row r="617" spans="1:8" x14ac:dyDescent="0.25">
      <c r="A617" t="str">
        <f t="shared" si="9"/>
        <v>31-Jul-18</v>
      </c>
      <c r="B617" t="s">
        <v>7</v>
      </c>
      <c r="C617" t="s">
        <v>8</v>
      </c>
      <c r="D617" t="str">
        <f>"6075756"</f>
        <v>6075756</v>
      </c>
      <c r="E617" t="s">
        <v>633</v>
      </c>
      <c r="F617" t="s">
        <v>615</v>
      </c>
      <c r="G617">
        <v>3.0000000000000001E-3</v>
      </c>
      <c r="H617" t="s">
        <v>11</v>
      </c>
    </row>
    <row r="618" spans="1:8" x14ac:dyDescent="0.25">
      <c r="A618" t="str">
        <f t="shared" si="9"/>
        <v>31-Jul-18</v>
      </c>
      <c r="B618" t="s">
        <v>7</v>
      </c>
      <c r="C618" t="s">
        <v>8</v>
      </c>
      <c r="D618" t="str">
        <f>"6132101"</f>
        <v>6132101</v>
      </c>
      <c r="E618" t="s">
        <v>634</v>
      </c>
      <c r="F618" t="s">
        <v>615</v>
      </c>
      <c r="G618">
        <v>5.0999999999999997E-2</v>
      </c>
      <c r="H618" t="s">
        <v>11</v>
      </c>
    </row>
    <row r="619" spans="1:8" x14ac:dyDescent="0.25">
      <c r="A619" t="str">
        <f t="shared" si="9"/>
        <v>31-Jul-18</v>
      </c>
      <c r="B619" t="s">
        <v>7</v>
      </c>
      <c r="C619" t="s">
        <v>8</v>
      </c>
      <c r="D619" t="str">
        <f>"6146500"</f>
        <v>6146500</v>
      </c>
      <c r="E619" t="s">
        <v>635</v>
      </c>
      <c r="F619" t="s">
        <v>615</v>
      </c>
      <c r="G619">
        <v>8.9999999999999993E-3</v>
      </c>
      <c r="H619" t="s">
        <v>11</v>
      </c>
    </row>
    <row r="620" spans="1:8" x14ac:dyDescent="0.25">
      <c r="A620" t="str">
        <f t="shared" si="9"/>
        <v>31-Jul-18</v>
      </c>
      <c r="B620" t="s">
        <v>7</v>
      </c>
      <c r="C620" t="s">
        <v>8</v>
      </c>
      <c r="D620" t="str">
        <f>"BK0S445"</f>
        <v>BK0S445</v>
      </c>
      <c r="E620" t="s">
        <v>636</v>
      </c>
      <c r="F620" t="s">
        <v>615</v>
      </c>
      <c r="G620">
        <v>1E-3</v>
      </c>
      <c r="H620" t="s">
        <v>11</v>
      </c>
    </row>
    <row r="621" spans="1:8" x14ac:dyDescent="0.25">
      <c r="A621" t="str">
        <f t="shared" si="9"/>
        <v>31-Jul-18</v>
      </c>
      <c r="B621" t="s">
        <v>7</v>
      </c>
      <c r="C621" t="s">
        <v>8</v>
      </c>
      <c r="D621" t="str">
        <f>"B3TBRZ8"</f>
        <v>B3TBRZ8</v>
      </c>
      <c r="E621" t="s">
        <v>637</v>
      </c>
      <c r="F621" t="s">
        <v>615</v>
      </c>
      <c r="G621">
        <v>6.0000000000000001E-3</v>
      </c>
      <c r="H621" t="s">
        <v>11</v>
      </c>
    </row>
    <row r="622" spans="1:8" x14ac:dyDescent="0.25">
      <c r="A622" t="str">
        <f t="shared" si="9"/>
        <v>31-Jul-18</v>
      </c>
      <c r="B622" t="s">
        <v>7</v>
      </c>
      <c r="C622" t="s">
        <v>8</v>
      </c>
      <c r="D622" t="str">
        <f>"6172323"</f>
        <v>6172323</v>
      </c>
      <c r="E622" t="s">
        <v>638</v>
      </c>
      <c r="F622" t="s">
        <v>615</v>
      </c>
      <c r="G622">
        <v>0.09</v>
      </c>
      <c r="H622" t="s">
        <v>11</v>
      </c>
    </row>
    <row r="623" spans="1:8" x14ac:dyDescent="0.25">
      <c r="A623" t="str">
        <f t="shared" si="9"/>
        <v>31-Jul-18</v>
      </c>
      <c r="B623" t="s">
        <v>7</v>
      </c>
      <c r="C623" t="s">
        <v>8</v>
      </c>
      <c r="D623" t="str">
        <f>"6178967"</f>
        <v>6178967</v>
      </c>
      <c r="E623" t="s">
        <v>639</v>
      </c>
      <c r="F623" t="s">
        <v>615</v>
      </c>
      <c r="G623">
        <v>5.0000000000000001E-3</v>
      </c>
      <c r="H623" t="s">
        <v>11</v>
      </c>
    </row>
    <row r="624" spans="1:8" x14ac:dyDescent="0.25">
      <c r="A624" t="str">
        <f t="shared" si="9"/>
        <v>31-Jul-18</v>
      </c>
      <c r="B624" t="s">
        <v>7</v>
      </c>
      <c r="C624" t="s">
        <v>8</v>
      </c>
      <c r="D624" t="str">
        <f>"6183552"</f>
        <v>6183552</v>
      </c>
      <c r="E624" t="s">
        <v>640</v>
      </c>
      <c r="F624" t="s">
        <v>615</v>
      </c>
      <c r="G624">
        <v>0.05</v>
      </c>
      <c r="H624" t="s">
        <v>11</v>
      </c>
    </row>
    <row r="625" spans="1:8" x14ac:dyDescent="0.25">
      <c r="A625" t="str">
        <f t="shared" si="9"/>
        <v>31-Jul-18</v>
      </c>
      <c r="B625" t="s">
        <v>7</v>
      </c>
      <c r="C625" t="s">
        <v>8</v>
      </c>
      <c r="D625" t="str">
        <f>"6190563"</f>
        <v>6190563</v>
      </c>
      <c r="E625" t="s">
        <v>641</v>
      </c>
      <c r="F625" t="s">
        <v>615</v>
      </c>
      <c r="G625">
        <v>0.01</v>
      </c>
      <c r="H625" t="s">
        <v>11</v>
      </c>
    </row>
    <row r="626" spans="1:8" x14ac:dyDescent="0.25">
      <c r="A626" t="str">
        <f t="shared" si="9"/>
        <v>31-Jul-18</v>
      </c>
      <c r="B626" t="s">
        <v>7</v>
      </c>
      <c r="C626" t="s">
        <v>8</v>
      </c>
      <c r="D626" t="str">
        <f>"6195609"</f>
        <v>6195609</v>
      </c>
      <c r="E626" t="s">
        <v>642</v>
      </c>
      <c r="F626" t="s">
        <v>615</v>
      </c>
      <c r="G626">
        <v>0.02</v>
      </c>
      <c r="H626" t="s">
        <v>11</v>
      </c>
    </row>
    <row r="627" spans="1:8" x14ac:dyDescent="0.25">
      <c r="A627" t="str">
        <f t="shared" si="9"/>
        <v>31-Jul-18</v>
      </c>
      <c r="B627" t="s">
        <v>7</v>
      </c>
      <c r="C627" t="s">
        <v>8</v>
      </c>
      <c r="D627" t="str">
        <f>"6196408"</f>
        <v>6196408</v>
      </c>
      <c r="E627" t="s">
        <v>643</v>
      </c>
      <c r="F627" t="s">
        <v>615</v>
      </c>
      <c r="G627">
        <v>5.8999999999999997E-2</v>
      </c>
      <c r="H627" t="s">
        <v>11</v>
      </c>
    </row>
    <row r="628" spans="1:8" x14ac:dyDescent="0.25">
      <c r="A628" t="str">
        <f t="shared" si="9"/>
        <v>31-Jul-18</v>
      </c>
      <c r="B628" t="s">
        <v>7</v>
      </c>
      <c r="C628" t="s">
        <v>8</v>
      </c>
      <c r="D628" t="str">
        <f>"6195900"</f>
        <v>6195900</v>
      </c>
      <c r="E628" t="s">
        <v>644</v>
      </c>
      <c r="F628" t="s">
        <v>615</v>
      </c>
      <c r="G628">
        <v>6.0000000000000001E-3</v>
      </c>
      <c r="H628" t="s">
        <v>11</v>
      </c>
    </row>
    <row r="629" spans="1:8" x14ac:dyDescent="0.25">
      <c r="A629" t="str">
        <f t="shared" si="9"/>
        <v>31-Jul-18</v>
      </c>
      <c r="B629" t="s">
        <v>7</v>
      </c>
      <c r="C629" t="s">
        <v>8</v>
      </c>
      <c r="D629" t="str">
        <f>"6163286"</f>
        <v>6163286</v>
      </c>
      <c r="E629" t="s">
        <v>645</v>
      </c>
      <c r="F629" t="s">
        <v>615</v>
      </c>
      <c r="G629">
        <v>4.0000000000000001E-3</v>
      </c>
      <c r="H629" t="s">
        <v>11</v>
      </c>
    </row>
    <row r="630" spans="1:8" x14ac:dyDescent="0.25">
      <c r="A630" t="str">
        <f t="shared" si="9"/>
        <v>31-Jul-18</v>
      </c>
      <c r="B630" t="s">
        <v>7</v>
      </c>
      <c r="C630" t="s">
        <v>8</v>
      </c>
      <c r="D630" t="str">
        <f>"BD97JW7"</f>
        <v>BD97JW7</v>
      </c>
      <c r="E630" t="s">
        <v>646</v>
      </c>
      <c r="F630" t="s">
        <v>615</v>
      </c>
      <c r="G630">
        <v>1.2E-2</v>
      </c>
      <c r="H630" t="s">
        <v>11</v>
      </c>
    </row>
    <row r="631" spans="1:8" x14ac:dyDescent="0.25">
      <c r="A631" t="str">
        <f t="shared" si="9"/>
        <v>31-Jul-18</v>
      </c>
      <c r="B631" t="s">
        <v>7</v>
      </c>
      <c r="C631" t="s">
        <v>8</v>
      </c>
      <c r="D631" t="str">
        <f>"6591809"</f>
        <v>6591809</v>
      </c>
      <c r="E631" t="s">
        <v>647</v>
      </c>
      <c r="F631" t="s">
        <v>615</v>
      </c>
      <c r="G631">
        <v>6.0000000000000001E-3</v>
      </c>
      <c r="H631" t="s">
        <v>11</v>
      </c>
    </row>
    <row r="632" spans="1:8" x14ac:dyDescent="0.25">
      <c r="A632" t="str">
        <f t="shared" si="9"/>
        <v>31-Jul-18</v>
      </c>
      <c r="B632" t="s">
        <v>7</v>
      </c>
      <c r="C632" t="s">
        <v>8</v>
      </c>
      <c r="D632" t="str">
        <f>"6220501"</f>
        <v>6220501</v>
      </c>
      <c r="E632" t="s">
        <v>648</v>
      </c>
      <c r="F632" t="s">
        <v>615</v>
      </c>
      <c r="G632">
        <v>7.0000000000000001E-3</v>
      </c>
      <c r="H632" t="s">
        <v>11</v>
      </c>
    </row>
    <row r="633" spans="1:8" x14ac:dyDescent="0.25">
      <c r="A633" t="str">
        <f t="shared" si="9"/>
        <v>31-Jul-18</v>
      </c>
      <c r="B633" t="s">
        <v>7</v>
      </c>
      <c r="C633" t="s">
        <v>8</v>
      </c>
      <c r="D633" t="str">
        <f>"6250906"</f>
        <v>6250906</v>
      </c>
      <c r="E633" t="s">
        <v>649</v>
      </c>
      <c r="F633" t="s">
        <v>615</v>
      </c>
      <c r="G633">
        <v>1.0999999999999999E-2</v>
      </c>
      <c r="H633" t="s">
        <v>11</v>
      </c>
    </row>
    <row r="634" spans="1:8" x14ac:dyDescent="0.25">
      <c r="A634" t="str">
        <f t="shared" si="9"/>
        <v>31-Jul-18</v>
      </c>
      <c r="B634" t="s">
        <v>7</v>
      </c>
      <c r="C634" t="s">
        <v>8</v>
      </c>
      <c r="D634" t="str">
        <f>"B601QS4"</f>
        <v>B601QS4</v>
      </c>
      <c r="E634" t="s">
        <v>650</v>
      </c>
      <c r="F634" t="s">
        <v>615</v>
      </c>
      <c r="G634">
        <v>4.1000000000000002E-2</v>
      </c>
      <c r="H634" t="s">
        <v>11</v>
      </c>
    </row>
    <row r="635" spans="1:8" x14ac:dyDescent="0.25">
      <c r="A635" t="str">
        <f t="shared" si="9"/>
        <v>31-Jul-18</v>
      </c>
      <c r="B635" t="s">
        <v>7</v>
      </c>
      <c r="C635" t="s">
        <v>8</v>
      </c>
      <c r="D635" t="str">
        <f>"6250542"</f>
        <v>6250542</v>
      </c>
      <c r="E635" t="s">
        <v>651</v>
      </c>
      <c r="F635" t="s">
        <v>615</v>
      </c>
      <c r="G635">
        <v>5.0000000000000001E-3</v>
      </c>
      <c r="H635" t="s">
        <v>11</v>
      </c>
    </row>
    <row r="636" spans="1:8" x14ac:dyDescent="0.25">
      <c r="A636" t="str">
        <f t="shared" si="9"/>
        <v>31-Jul-18</v>
      </c>
      <c r="B636" t="s">
        <v>7</v>
      </c>
      <c r="C636" t="s">
        <v>8</v>
      </c>
      <c r="D636" t="str">
        <f>"6250025"</f>
        <v>6250025</v>
      </c>
      <c r="E636" t="s">
        <v>652</v>
      </c>
      <c r="F636" t="s">
        <v>615</v>
      </c>
      <c r="G636">
        <v>1.9E-2</v>
      </c>
      <c r="H636" t="s">
        <v>11</v>
      </c>
    </row>
    <row r="637" spans="1:8" x14ac:dyDescent="0.25">
      <c r="A637" t="str">
        <f t="shared" si="9"/>
        <v>31-Jul-18</v>
      </c>
      <c r="B637" t="s">
        <v>7</v>
      </c>
      <c r="C637" t="s">
        <v>8</v>
      </c>
      <c r="D637" t="str">
        <f>"B0J7D91"</f>
        <v>B0J7D91</v>
      </c>
      <c r="E637" t="s">
        <v>653</v>
      </c>
      <c r="F637" t="s">
        <v>615</v>
      </c>
      <c r="G637">
        <v>6.7000000000000004E-2</v>
      </c>
      <c r="H637" t="s">
        <v>11</v>
      </c>
    </row>
    <row r="638" spans="1:8" x14ac:dyDescent="0.25">
      <c r="A638" t="str">
        <f t="shared" si="9"/>
        <v>31-Jul-18</v>
      </c>
      <c r="B638" t="s">
        <v>7</v>
      </c>
      <c r="C638" t="s">
        <v>8</v>
      </c>
      <c r="D638" t="str">
        <f>"6250724"</f>
        <v>6250724</v>
      </c>
      <c r="E638" t="s">
        <v>654</v>
      </c>
      <c r="F638" t="s">
        <v>615</v>
      </c>
      <c r="G638">
        <v>0.125</v>
      </c>
      <c r="H638" t="s">
        <v>11</v>
      </c>
    </row>
    <row r="639" spans="1:8" x14ac:dyDescent="0.25">
      <c r="A639" t="str">
        <f t="shared" si="9"/>
        <v>31-Jul-18</v>
      </c>
      <c r="B639" t="s">
        <v>7</v>
      </c>
      <c r="C639" t="s">
        <v>8</v>
      </c>
      <c r="D639" t="str">
        <f>"6250508"</f>
        <v>6250508</v>
      </c>
      <c r="E639" t="s">
        <v>655</v>
      </c>
      <c r="F639" t="s">
        <v>615</v>
      </c>
      <c r="G639">
        <v>2.5000000000000001E-2</v>
      </c>
      <c r="H639" t="s">
        <v>11</v>
      </c>
    </row>
    <row r="640" spans="1:8" x14ac:dyDescent="0.25">
      <c r="A640" t="str">
        <f t="shared" si="9"/>
        <v>31-Jul-18</v>
      </c>
      <c r="B640" t="s">
        <v>7</v>
      </c>
      <c r="C640" t="s">
        <v>8</v>
      </c>
      <c r="D640" t="str">
        <f>"6251363"</f>
        <v>6251363</v>
      </c>
      <c r="E640" t="s">
        <v>656</v>
      </c>
      <c r="F640" t="s">
        <v>615</v>
      </c>
      <c r="G640">
        <v>9.1999999999999998E-2</v>
      </c>
      <c r="H640" t="s">
        <v>11</v>
      </c>
    </row>
    <row r="641" spans="1:8" x14ac:dyDescent="0.25">
      <c r="A641" t="str">
        <f t="shared" si="9"/>
        <v>31-Jul-18</v>
      </c>
      <c r="B641" t="s">
        <v>7</v>
      </c>
      <c r="C641" t="s">
        <v>8</v>
      </c>
      <c r="D641" t="str">
        <f>"B0Z6WY0"</f>
        <v>B0Z6WY0</v>
      </c>
      <c r="E641" t="s">
        <v>657</v>
      </c>
      <c r="F641" t="s">
        <v>615</v>
      </c>
      <c r="G641">
        <v>5.0000000000000001E-3</v>
      </c>
      <c r="H641" t="s">
        <v>11</v>
      </c>
    </row>
    <row r="642" spans="1:8" x14ac:dyDescent="0.25">
      <c r="A642" t="str">
        <f t="shared" ref="A642:A705" si="10">"31-Jul-18"</f>
        <v>31-Jul-18</v>
      </c>
      <c r="B642" t="s">
        <v>7</v>
      </c>
      <c r="C642" t="s">
        <v>8</v>
      </c>
      <c r="D642" t="str">
        <f>"6251448"</f>
        <v>6251448</v>
      </c>
      <c r="E642" t="s">
        <v>658</v>
      </c>
      <c r="F642" t="s">
        <v>615</v>
      </c>
      <c r="G642">
        <v>0.02</v>
      </c>
      <c r="H642" t="s">
        <v>11</v>
      </c>
    </row>
    <row r="643" spans="1:8" x14ac:dyDescent="0.25">
      <c r="A643" t="str">
        <f t="shared" si="10"/>
        <v>31-Jul-18</v>
      </c>
      <c r="B643" t="s">
        <v>7</v>
      </c>
      <c r="C643" t="s">
        <v>8</v>
      </c>
      <c r="D643" t="str">
        <f>"B05L364"</f>
        <v>B05L364</v>
      </c>
      <c r="E643" t="s">
        <v>659</v>
      </c>
      <c r="F643" t="s">
        <v>615</v>
      </c>
      <c r="G643">
        <v>2E-3</v>
      </c>
      <c r="H643" t="s">
        <v>11</v>
      </c>
    </row>
    <row r="644" spans="1:8" x14ac:dyDescent="0.25">
      <c r="A644" t="str">
        <f t="shared" si="10"/>
        <v>31-Jul-18</v>
      </c>
      <c r="B644" t="s">
        <v>7</v>
      </c>
      <c r="C644" t="s">
        <v>8</v>
      </c>
      <c r="D644" t="str">
        <f>"6640381"</f>
        <v>6640381</v>
      </c>
      <c r="E644" t="s">
        <v>660</v>
      </c>
      <c r="F644" t="s">
        <v>615</v>
      </c>
      <c r="G644">
        <v>8.8999999999999996E-2</v>
      </c>
      <c r="H644" t="s">
        <v>11</v>
      </c>
    </row>
    <row r="645" spans="1:8" x14ac:dyDescent="0.25">
      <c r="A645" t="str">
        <f t="shared" si="10"/>
        <v>31-Jul-18</v>
      </c>
      <c r="B645" t="s">
        <v>7</v>
      </c>
      <c r="C645" t="s">
        <v>8</v>
      </c>
      <c r="D645" t="str">
        <f>"6416281"</f>
        <v>6416281</v>
      </c>
      <c r="E645" t="s">
        <v>661</v>
      </c>
      <c r="F645" t="s">
        <v>615</v>
      </c>
      <c r="G645">
        <v>1.4999999999999999E-2</v>
      </c>
      <c r="H645" t="s">
        <v>11</v>
      </c>
    </row>
    <row r="646" spans="1:8" x14ac:dyDescent="0.25">
      <c r="A646" t="str">
        <f t="shared" si="10"/>
        <v>31-Jul-18</v>
      </c>
      <c r="B646" t="s">
        <v>7</v>
      </c>
      <c r="C646" t="s">
        <v>8</v>
      </c>
      <c r="D646" t="str">
        <f>"6270948"</f>
        <v>6270948</v>
      </c>
      <c r="E646" t="s">
        <v>662</v>
      </c>
      <c r="F646" t="s">
        <v>615</v>
      </c>
      <c r="G646">
        <v>8.9999999999999993E-3</v>
      </c>
      <c r="H646" t="s">
        <v>11</v>
      </c>
    </row>
    <row r="647" spans="1:8" x14ac:dyDescent="0.25">
      <c r="A647" t="str">
        <f t="shared" si="10"/>
        <v>31-Jul-18</v>
      </c>
      <c r="B647" t="s">
        <v>7</v>
      </c>
      <c r="C647" t="s">
        <v>8</v>
      </c>
      <c r="D647" t="str">
        <f>"6269861"</f>
        <v>6269861</v>
      </c>
      <c r="E647" t="s">
        <v>663</v>
      </c>
      <c r="F647" t="s">
        <v>615</v>
      </c>
      <c r="G647">
        <v>1.2999999999999999E-2</v>
      </c>
      <c r="H647" t="s">
        <v>11</v>
      </c>
    </row>
    <row r="648" spans="1:8" x14ac:dyDescent="0.25">
      <c r="A648" t="str">
        <f t="shared" si="10"/>
        <v>31-Jul-18</v>
      </c>
      <c r="B648" t="s">
        <v>7</v>
      </c>
      <c r="C648" t="s">
        <v>8</v>
      </c>
      <c r="D648" t="str">
        <f>"6298542"</f>
        <v>6298542</v>
      </c>
      <c r="E648" t="s">
        <v>664</v>
      </c>
      <c r="F648" t="s">
        <v>615</v>
      </c>
      <c r="G648">
        <v>6.9000000000000006E-2</v>
      </c>
      <c r="H648" t="s">
        <v>11</v>
      </c>
    </row>
    <row r="649" spans="1:8" x14ac:dyDescent="0.25">
      <c r="A649" t="str">
        <f t="shared" si="10"/>
        <v>31-Jul-18</v>
      </c>
      <c r="B649" t="s">
        <v>7</v>
      </c>
      <c r="C649" t="s">
        <v>8</v>
      </c>
      <c r="D649" t="str">
        <f>"6307200"</f>
        <v>6307200</v>
      </c>
      <c r="E649" t="s">
        <v>665</v>
      </c>
      <c r="F649" t="s">
        <v>615</v>
      </c>
      <c r="G649">
        <v>9.5000000000000001E-2</v>
      </c>
      <c r="H649" t="s">
        <v>11</v>
      </c>
    </row>
    <row r="650" spans="1:8" x14ac:dyDescent="0.25">
      <c r="A650" t="str">
        <f t="shared" si="10"/>
        <v>31-Jul-18</v>
      </c>
      <c r="B650" t="s">
        <v>7</v>
      </c>
      <c r="C650" t="s">
        <v>8</v>
      </c>
      <c r="D650" t="str">
        <f>"B02Q328"</f>
        <v>B02Q328</v>
      </c>
      <c r="E650" t="s">
        <v>666</v>
      </c>
      <c r="F650" t="s">
        <v>615</v>
      </c>
      <c r="G650">
        <v>5.0000000000000001E-3</v>
      </c>
      <c r="H650" t="s">
        <v>11</v>
      </c>
    </row>
    <row r="651" spans="1:8" x14ac:dyDescent="0.25">
      <c r="A651" t="str">
        <f t="shared" si="10"/>
        <v>31-Jul-18</v>
      </c>
      <c r="B651" t="s">
        <v>7</v>
      </c>
      <c r="C651" t="s">
        <v>8</v>
      </c>
      <c r="D651" t="str">
        <f>"6356934"</f>
        <v>6356934</v>
      </c>
      <c r="E651" t="s">
        <v>667</v>
      </c>
      <c r="F651" t="s">
        <v>615</v>
      </c>
      <c r="G651">
        <v>8.5000000000000006E-2</v>
      </c>
      <c r="H651" t="s">
        <v>11</v>
      </c>
    </row>
    <row r="652" spans="1:8" x14ac:dyDescent="0.25">
      <c r="A652" t="str">
        <f t="shared" si="10"/>
        <v>31-Jul-18</v>
      </c>
      <c r="B652" t="s">
        <v>7</v>
      </c>
      <c r="C652" t="s">
        <v>8</v>
      </c>
      <c r="D652" t="str">
        <f>"6356525"</f>
        <v>6356525</v>
      </c>
      <c r="E652" t="s">
        <v>668</v>
      </c>
      <c r="F652" t="s">
        <v>615</v>
      </c>
      <c r="G652">
        <v>2.5000000000000001E-2</v>
      </c>
      <c r="H652" t="s">
        <v>11</v>
      </c>
    </row>
    <row r="653" spans="1:8" x14ac:dyDescent="0.25">
      <c r="A653" t="str">
        <f t="shared" si="10"/>
        <v>31-Jul-18</v>
      </c>
      <c r="B653" t="s">
        <v>7</v>
      </c>
      <c r="C653" t="s">
        <v>8</v>
      </c>
      <c r="D653" t="str">
        <f>"6331276"</f>
        <v>6331276</v>
      </c>
      <c r="E653" t="s">
        <v>669</v>
      </c>
      <c r="F653" t="s">
        <v>615</v>
      </c>
      <c r="G653">
        <v>1.4999999999999999E-2</v>
      </c>
      <c r="H653" t="s">
        <v>11</v>
      </c>
    </row>
    <row r="654" spans="1:8" x14ac:dyDescent="0.25">
      <c r="A654" t="str">
        <f t="shared" si="10"/>
        <v>31-Jul-18</v>
      </c>
      <c r="B654" t="s">
        <v>7</v>
      </c>
      <c r="C654" t="s">
        <v>8</v>
      </c>
      <c r="D654" t="str">
        <f>"6332439"</f>
        <v>6332439</v>
      </c>
      <c r="E654" t="s">
        <v>670</v>
      </c>
      <c r="F654" t="s">
        <v>615</v>
      </c>
      <c r="G654">
        <v>4.7E-2</v>
      </c>
      <c r="H654" t="s">
        <v>11</v>
      </c>
    </row>
    <row r="655" spans="1:8" x14ac:dyDescent="0.25">
      <c r="A655" t="str">
        <f t="shared" si="10"/>
        <v>31-Jul-18</v>
      </c>
      <c r="B655" t="s">
        <v>7</v>
      </c>
      <c r="C655" t="s">
        <v>8</v>
      </c>
      <c r="D655" t="str">
        <f>"6356365"</f>
        <v>6356365</v>
      </c>
      <c r="E655" t="s">
        <v>671</v>
      </c>
      <c r="F655" t="s">
        <v>615</v>
      </c>
      <c r="G655">
        <v>0.01</v>
      </c>
      <c r="H655" t="s">
        <v>11</v>
      </c>
    </row>
    <row r="656" spans="1:8" x14ac:dyDescent="0.25">
      <c r="A656" t="str">
        <f t="shared" si="10"/>
        <v>31-Jul-18</v>
      </c>
      <c r="B656" t="s">
        <v>7</v>
      </c>
      <c r="C656" t="s">
        <v>8</v>
      </c>
      <c r="D656" t="str">
        <f>"6356945"</f>
        <v>6356945</v>
      </c>
      <c r="E656" t="s">
        <v>672</v>
      </c>
      <c r="F656" t="s">
        <v>615</v>
      </c>
      <c r="G656">
        <v>5.5E-2</v>
      </c>
      <c r="H656" t="s">
        <v>11</v>
      </c>
    </row>
    <row r="657" spans="1:8" x14ac:dyDescent="0.25">
      <c r="A657" t="str">
        <f t="shared" si="10"/>
        <v>31-Jul-18</v>
      </c>
      <c r="B657" t="s">
        <v>7</v>
      </c>
      <c r="C657" t="s">
        <v>8</v>
      </c>
      <c r="D657" t="str">
        <f>"B1TK1Y8"</f>
        <v>B1TK1Y8</v>
      </c>
      <c r="E657" t="s">
        <v>673</v>
      </c>
      <c r="F657" t="s">
        <v>615</v>
      </c>
      <c r="G657">
        <v>2E-3</v>
      </c>
      <c r="H657" t="s">
        <v>11</v>
      </c>
    </row>
    <row r="658" spans="1:8" x14ac:dyDescent="0.25">
      <c r="A658" t="str">
        <f t="shared" si="10"/>
        <v>31-Jul-18</v>
      </c>
      <c r="B658" t="s">
        <v>7</v>
      </c>
      <c r="C658" t="s">
        <v>8</v>
      </c>
      <c r="D658" t="str">
        <f>"B05LZ02"</f>
        <v>B05LZ02</v>
      </c>
      <c r="E658" t="s">
        <v>674</v>
      </c>
      <c r="F658" t="s">
        <v>615</v>
      </c>
      <c r="G658">
        <v>7.0000000000000001E-3</v>
      </c>
      <c r="H658" t="s">
        <v>11</v>
      </c>
    </row>
    <row r="659" spans="1:8" x14ac:dyDescent="0.25">
      <c r="A659" t="str">
        <f t="shared" si="10"/>
        <v>31-Jul-18</v>
      </c>
      <c r="B659" t="s">
        <v>7</v>
      </c>
      <c r="C659" t="s">
        <v>8</v>
      </c>
      <c r="D659" t="str">
        <f>"6405870"</f>
        <v>6405870</v>
      </c>
      <c r="E659" t="s">
        <v>675</v>
      </c>
      <c r="F659" t="s">
        <v>615</v>
      </c>
      <c r="G659">
        <v>5.0000000000000001E-3</v>
      </c>
      <c r="H659" t="s">
        <v>11</v>
      </c>
    </row>
    <row r="660" spans="1:8" x14ac:dyDescent="0.25">
      <c r="A660" t="str">
        <f t="shared" si="10"/>
        <v>31-Jul-18</v>
      </c>
      <c r="B660" t="s">
        <v>7</v>
      </c>
      <c r="C660" t="s">
        <v>8</v>
      </c>
      <c r="D660" t="str">
        <f>"6408664"</f>
        <v>6408664</v>
      </c>
      <c r="E660" t="s">
        <v>676</v>
      </c>
      <c r="F660" t="s">
        <v>615</v>
      </c>
      <c r="G660">
        <v>0.02</v>
      </c>
      <c r="H660" t="s">
        <v>11</v>
      </c>
    </row>
    <row r="661" spans="1:8" x14ac:dyDescent="0.25">
      <c r="A661" t="str">
        <f t="shared" si="10"/>
        <v>31-Jul-18</v>
      </c>
      <c r="B661" t="s">
        <v>7</v>
      </c>
      <c r="C661" t="s">
        <v>8</v>
      </c>
      <c r="D661" t="str">
        <f>"6416322"</f>
        <v>6416322</v>
      </c>
      <c r="E661" t="s">
        <v>677</v>
      </c>
      <c r="F661" t="s">
        <v>615</v>
      </c>
      <c r="G661">
        <v>7.0000000000000001E-3</v>
      </c>
      <c r="H661" t="s">
        <v>11</v>
      </c>
    </row>
    <row r="662" spans="1:8" x14ac:dyDescent="0.25">
      <c r="A662" t="str">
        <f t="shared" si="10"/>
        <v>31-Jul-18</v>
      </c>
      <c r="B662" t="s">
        <v>7</v>
      </c>
      <c r="C662" t="s">
        <v>8</v>
      </c>
      <c r="D662" t="str">
        <f>"6428305"</f>
        <v>6428305</v>
      </c>
      <c r="E662" t="s">
        <v>678</v>
      </c>
      <c r="F662" t="s">
        <v>615</v>
      </c>
      <c r="G662">
        <v>6.0000000000000001E-3</v>
      </c>
      <c r="H662" t="s">
        <v>11</v>
      </c>
    </row>
    <row r="663" spans="1:8" x14ac:dyDescent="0.25">
      <c r="A663" t="str">
        <f t="shared" si="10"/>
        <v>31-Jul-18</v>
      </c>
      <c r="B663" t="s">
        <v>7</v>
      </c>
      <c r="C663" t="s">
        <v>8</v>
      </c>
      <c r="D663" t="str">
        <f>"6428725"</f>
        <v>6428725</v>
      </c>
      <c r="E663" t="s">
        <v>679</v>
      </c>
      <c r="F663" t="s">
        <v>615</v>
      </c>
      <c r="G663">
        <v>4.0000000000000001E-3</v>
      </c>
      <c r="H663" t="s">
        <v>11</v>
      </c>
    </row>
    <row r="664" spans="1:8" x14ac:dyDescent="0.25">
      <c r="A664" t="str">
        <f t="shared" si="10"/>
        <v>31-Jul-18</v>
      </c>
      <c r="B664" t="s">
        <v>7</v>
      </c>
      <c r="C664" t="s">
        <v>8</v>
      </c>
      <c r="D664" t="str">
        <f>"6428907"</f>
        <v>6428907</v>
      </c>
      <c r="E664" t="s">
        <v>680</v>
      </c>
      <c r="F664" t="s">
        <v>615</v>
      </c>
      <c r="G664">
        <v>1.6E-2</v>
      </c>
      <c r="H664" t="s">
        <v>11</v>
      </c>
    </row>
    <row r="665" spans="1:8" x14ac:dyDescent="0.25">
      <c r="A665" t="str">
        <f t="shared" si="10"/>
        <v>31-Jul-18</v>
      </c>
      <c r="B665" t="s">
        <v>7</v>
      </c>
      <c r="C665" t="s">
        <v>8</v>
      </c>
      <c r="D665" t="str">
        <f>"6429126"</f>
        <v>6429126</v>
      </c>
      <c r="E665" t="s">
        <v>681</v>
      </c>
      <c r="F665" t="s">
        <v>615</v>
      </c>
      <c r="G665">
        <v>7.0000000000000001E-3</v>
      </c>
      <c r="H665" t="s">
        <v>11</v>
      </c>
    </row>
    <row r="666" spans="1:8" x14ac:dyDescent="0.25">
      <c r="A666" t="str">
        <f t="shared" si="10"/>
        <v>31-Jul-18</v>
      </c>
      <c r="B666" t="s">
        <v>7</v>
      </c>
      <c r="C666" t="s">
        <v>8</v>
      </c>
      <c r="D666" t="str">
        <f>"6429405"</f>
        <v>6429405</v>
      </c>
      <c r="E666" t="s">
        <v>682</v>
      </c>
      <c r="F666" t="s">
        <v>615</v>
      </c>
      <c r="G666">
        <v>8.9999999999999993E-3</v>
      </c>
      <c r="H666" t="s">
        <v>11</v>
      </c>
    </row>
    <row r="667" spans="1:8" x14ac:dyDescent="0.25">
      <c r="A667" t="str">
        <f t="shared" si="10"/>
        <v>31-Jul-18</v>
      </c>
      <c r="B667" t="s">
        <v>7</v>
      </c>
      <c r="C667" t="s">
        <v>8</v>
      </c>
      <c r="D667" t="str">
        <f>"6642804"</f>
        <v>6642804</v>
      </c>
      <c r="E667" t="s">
        <v>683</v>
      </c>
      <c r="F667" t="s">
        <v>615</v>
      </c>
      <c r="G667">
        <v>3.0000000000000001E-3</v>
      </c>
      <c r="H667" t="s">
        <v>11</v>
      </c>
    </row>
    <row r="668" spans="1:8" x14ac:dyDescent="0.25">
      <c r="A668" t="str">
        <f t="shared" si="10"/>
        <v>31-Jul-18</v>
      </c>
      <c r="B668" t="s">
        <v>7</v>
      </c>
      <c r="C668" t="s">
        <v>8</v>
      </c>
      <c r="D668" t="str">
        <f>"6429104"</f>
        <v>6429104</v>
      </c>
      <c r="E668" t="s">
        <v>684</v>
      </c>
      <c r="F668" t="s">
        <v>615</v>
      </c>
      <c r="G668">
        <v>5.2999999999999999E-2</v>
      </c>
      <c r="H668" t="s">
        <v>11</v>
      </c>
    </row>
    <row r="669" spans="1:8" x14ac:dyDescent="0.25">
      <c r="A669" t="str">
        <f t="shared" si="10"/>
        <v>31-Jul-18</v>
      </c>
      <c r="B669" t="s">
        <v>7</v>
      </c>
      <c r="C669" t="s">
        <v>8</v>
      </c>
      <c r="D669" t="str">
        <f>"6429201"</f>
        <v>6429201</v>
      </c>
      <c r="E669" t="s">
        <v>685</v>
      </c>
      <c r="F669" t="s">
        <v>615</v>
      </c>
      <c r="G669">
        <v>5.0000000000000001E-3</v>
      </c>
      <c r="H669" t="s">
        <v>11</v>
      </c>
    </row>
    <row r="670" spans="1:8" x14ac:dyDescent="0.25">
      <c r="A670" t="str">
        <f t="shared" si="10"/>
        <v>31-Jul-18</v>
      </c>
      <c r="B670" t="s">
        <v>7</v>
      </c>
      <c r="C670" t="s">
        <v>8</v>
      </c>
      <c r="D670" t="str">
        <f>"6435145"</f>
        <v>6435145</v>
      </c>
      <c r="E670" t="s">
        <v>686</v>
      </c>
      <c r="F670" t="s">
        <v>615</v>
      </c>
      <c r="G670">
        <v>9.9000000000000005E-2</v>
      </c>
      <c r="H670" t="s">
        <v>11</v>
      </c>
    </row>
    <row r="671" spans="1:8" x14ac:dyDescent="0.25">
      <c r="A671" t="str">
        <f t="shared" si="10"/>
        <v>31-Jul-18</v>
      </c>
      <c r="B671" t="s">
        <v>7</v>
      </c>
      <c r="C671" t="s">
        <v>8</v>
      </c>
      <c r="D671" t="str">
        <f>"B3FF8W8"</f>
        <v>B3FF8W8</v>
      </c>
      <c r="E671" t="s">
        <v>687</v>
      </c>
      <c r="F671" t="s">
        <v>615</v>
      </c>
      <c r="G671">
        <v>1.2E-2</v>
      </c>
      <c r="H671" t="s">
        <v>11</v>
      </c>
    </row>
    <row r="672" spans="1:8" x14ac:dyDescent="0.25">
      <c r="A672" t="str">
        <f t="shared" si="10"/>
        <v>31-Jul-18</v>
      </c>
      <c r="B672" t="s">
        <v>7</v>
      </c>
      <c r="C672" t="s">
        <v>8</v>
      </c>
      <c r="D672" t="str">
        <f>"6441506"</f>
        <v>6441506</v>
      </c>
      <c r="E672" t="s">
        <v>688</v>
      </c>
      <c r="F672" t="s">
        <v>615</v>
      </c>
      <c r="G672">
        <v>4.9000000000000002E-2</v>
      </c>
      <c r="H672" t="s">
        <v>11</v>
      </c>
    </row>
    <row r="673" spans="1:8" x14ac:dyDescent="0.25">
      <c r="A673" t="str">
        <f t="shared" si="10"/>
        <v>31-Jul-18</v>
      </c>
      <c r="B673" t="s">
        <v>7</v>
      </c>
      <c r="C673" t="s">
        <v>8</v>
      </c>
      <c r="D673" t="str">
        <f>"6805317"</f>
        <v>6805317</v>
      </c>
      <c r="E673" t="s">
        <v>689</v>
      </c>
      <c r="F673" t="s">
        <v>615</v>
      </c>
      <c r="G673">
        <v>6.0000000000000001E-3</v>
      </c>
      <c r="H673" t="s">
        <v>11</v>
      </c>
    </row>
    <row r="674" spans="1:8" x14ac:dyDescent="0.25">
      <c r="A674" t="str">
        <f t="shared" si="10"/>
        <v>31-Jul-18</v>
      </c>
      <c r="B674" t="s">
        <v>7</v>
      </c>
      <c r="C674" t="s">
        <v>8</v>
      </c>
      <c r="D674" t="str">
        <f>"6466985"</f>
        <v>6466985</v>
      </c>
      <c r="E674" t="s">
        <v>690</v>
      </c>
      <c r="F674" t="s">
        <v>615</v>
      </c>
      <c r="G674">
        <v>1.4E-2</v>
      </c>
      <c r="H674" t="s">
        <v>11</v>
      </c>
    </row>
    <row r="675" spans="1:8" x14ac:dyDescent="0.25">
      <c r="A675" t="str">
        <f t="shared" si="10"/>
        <v>31-Jul-18</v>
      </c>
      <c r="B675" t="s">
        <v>7</v>
      </c>
      <c r="C675" t="s">
        <v>8</v>
      </c>
      <c r="D675" t="str">
        <f>"6467803"</f>
        <v>6467803</v>
      </c>
      <c r="E675" t="s">
        <v>691</v>
      </c>
      <c r="F675" t="s">
        <v>615</v>
      </c>
      <c r="G675">
        <v>5.2999999999999999E-2</v>
      </c>
      <c r="H675" t="s">
        <v>11</v>
      </c>
    </row>
    <row r="676" spans="1:8" x14ac:dyDescent="0.25">
      <c r="A676" t="str">
        <f t="shared" si="10"/>
        <v>31-Jul-18</v>
      </c>
      <c r="B676" t="s">
        <v>7</v>
      </c>
      <c r="C676" t="s">
        <v>8</v>
      </c>
      <c r="D676" t="str">
        <f>"B1FF8P7"</f>
        <v>B1FF8P7</v>
      </c>
      <c r="E676" t="s">
        <v>692</v>
      </c>
      <c r="F676" t="s">
        <v>615</v>
      </c>
      <c r="G676">
        <v>1.0999999999999999E-2</v>
      </c>
      <c r="H676" t="s">
        <v>11</v>
      </c>
    </row>
    <row r="677" spans="1:8" x14ac:dyDescent="0.25">
      <c r="A677" t="str">
        <f t="shared" si="10"/>
        <v>31-Jul-18</v>
      </c>
      <c r="B677" t="s">
        <v>7</v>
      </c>
      <c r="C677" t="s">
        <v>8</v>
      </c>
      <c r="D677" t="str">
        <f>"BFDTBS3"</f>
        <v>BFDTBS3</v>
      </c>
      <c r="E677" t="s">
        <v>693</v>
      </c>
      <c r="F677" t="s">
        <v>615</v>
      </c>
      <c r="G677">
        <v>3.0000000000000001E-3</v>
      </c>
      <c r="H677" t="s">
        <v>11</v>
      </c>
    </row>
    <row r="678" spans="1:8" x14ac:dyDescent="0.25">
      <c r="A678" t="str">
        <f t="shared" si="10"/>
        <v>31-Jul-18</v>
      </c>
      <c r="B678" t="s">
        <v>7</v>
      </c>
      <c r="C678" t="s">
        <v>8</v>
      </c>
      <c r="D678" t="str">
        <f>"B10RB15"</f>
        <v>B10RB15</v>
      </c>
      <c r="E678" t="s">
        <v>694</v>
      </c>
      <c r="F678" t="s">
        <v>615</v>
      </c>
      <c r="G678">
        <v>4.4999999999999998E-2</v>
      </c>
      <c r="H678" t="s">
        <v>11</v>
      </c>
    </row>
    <row r="679" spans="1:8" x14ac:dyDescent="0.25">
      <c r="A679" t="str">
        <f t="shared" si="10"/>
        <v>31-Jul-18</v>
      </c>
      <c r="B679" t="s">
        <v>7</v>
      </c>
      <c r="C679" t="s">
        <v>8</v>
      </c>
      <c r="D679" t="str">
        <f>"B2Q4CL4"</f>
        <v>B2Q4CL4</v>
      </c>
      <c r="E679" t="s">
        <v>695</v>
      </c>
      <c r="F679" t="s">
        <v>615</v>
      </c>
      <c r="G679">
        <v>5.0000000000000001E-3</v>
      </c>
      <c r="H679" t="s">
        <v>11</v>
      </c>
    </row>
    <row r="680" spans="1:8" x14ac:dyDescent="0.25">
      <c r="A680" t="str">
        <f t="shared" si="10"/>
        <v>31-Jul-18</v>
      </c>
      <c r="B680" t="s">
        <v>7</v>
      </c>
      <c r="C680" t="s">
        <v>8</v>
      </c>
      <c r="D680" t="str">
        <f>"6467104"</f>
        <v>6467104</v>
      </c>
      <c r="E680" t="s">
        <v>696</v>
      </c>
      <c r="F680" t="s">
        <v>615</v>
      </c>
      <c r="G680">
        <v>1.7000000000000001E-2</v>
      </c>
      <c r="H680" t="s">
        <v>11</v>
      </c>
    </row>
    <row r="681" spans="1:8" x14ac:dyDescent="0.25">
      <c r="A681" t="str">
        <f t="shared" si="10"/>
        <v>31-Jul-18</v>
      </c>
      <c r="B681" t="s">
        <v>7</v>
      </c>
      <c r="C681" t="s">
        <v>8</v>
      </c>
      <c r="D681" t="str">
        <f>"B23TC12"</f>
        <v>B23TC12</v>
      </c>
      <c r="E681" t="s">
        <v>697</v>
      </c>
      <c r="F681" t="s">
        <v>615</v>
      </c>
      <c r="G681">
        <v>7.0000000000000001E-3</v>
      </c>
      <c r="H681" t="s">
        <v>11</v>
      </c>
    </row>
    <row r="682" spans="1:8" x14ac:dyDescent="0.25">
      <c r="A682" t="str">
        <f t="shared" si="10"/>
        <v>31-Jul-18</v>
      </c>
      <c r="B682" t="s">
        <v>7</v>
      </c>
      <c r="C682" t="s">
        <v>8</v>
      </c>
      <c r="D682" t="str">
        <f>"6543792"</f>
        <v>6543792</v>
      </c>
      <c r="E682" t="s">
        <v>698</v>
      </c>
      <c r="F682" t="s">
        <v>615</v>
      </c>
      <c r="G682">
        <v>1.7000000000000001E-2</v>
      </c>
      <c r="H682" t="s">
        <v>11</v>
      </c>
    </row>
    <row r="683" spans="1:8" x14ac:dyDescent="0.25">
      <c r="A683" t="str">
        <f t="shared" si="10"/>
        <v>31-Jul-18</v>
      </c>
      <c r="B683" t="s">
        <v>7</v>
      </c>
      <c r="C683" t="s">
        <v>8</v>
      </c>
      <c r="D683" t="str">
        <f>"6473468"</f>
        <v>6473468</v>
      </c>
      <c r="E683" t="s">
        <v>699</v>
      </c>
      <c r="F683" t="s">
        <v>615</v>
      </c>
      <c r="G683">
        <v>0.01</v>
      </c>
      <c r="H683" t="s">
        <v>11</v>
      </c>
    </row>
    <row r="684" spans="1:8" x14ac:dyDescent="0.25">
      <c r="A684" t="str">
        <f t="shared" si="10"/>
        <v>31-Jul-18</v>
      </c>
      <c r="B684" t="s">
        <v>7</v>
      </c>
      <c r="C684" t="s">
        <v>8</v>
      </c>
      <c r="D684" t="str">
        <f>"6470986"</f>
        <v>6470986</v>
      </c>
      <c r="E684" t="s">
        <v>700</v>
      </c>
      <c r="F684" t="s">
        <v>615</v>
      </c>
      <c r="G684">
        <v>5.0000000000000001E-3</v>
      </c>
      <c r="H684" t="s">
        <v>11</v>
      </c>
    </row>
    <row r="685" spans="1:8" x14ac:dyDescent="0.25">
      <c r="A685" t="str">
        <f t="shared" si="10"/>
        <v>31-Jul-18</v>
      </c>
      <c r="B685" t="s">
        <v>7</v>
      </c>
      <c r="C685" t="s">
        <v>8</v>
      </c>
      <c r="D685" t="str">
        <f>"6497082"</f>
        <v>6497082</v>
      </c>
      <c r="E685" t="s">
        <v>701</v>
      </c>
      <c r="F685" t="s">
        <v>615</v>
      </c>
      <c r="G685">
        <v>5.0000000000000001E-3</v>
      </c>
      <c r="H685" t="s">
        <v>11</v>
      </c>
    </row>
    <row r="686" spans="1:8" x14ac:dyDescent="0.25">
      <c r="A686" t="str">
        <f t="shared" si="10"/>
        <v>31-Jul-18</v>
      </c>
      <c r="B686" t="s">
        <v>7</v>
      </c>
      <c r="C686" t="s">
        <v>8</v>
      </c>
      <c r="D686" t="str">
        <f>"B627LW9"</f>
        <v>B627LW9</v>
      </c>
      <c r="E686" t="s">
        <v>702</v>
      </c>
      <c r="F686" t="s">
        <v>615</v>
      </c>
      <c r="G686">
        <v>4.5999999999999999E-2</v>
      </c>
      <c r="H686" t="s">
        <v>11</v>
      </c>
    </row>
    <row r="687" spans="1:8" x14ac:dyDescent="0.25">
      <c r="A687" t="str">
        <f t="shared" si="10"/>
        <v>31-Jul-18</v>
      </c>
      <c r="B687" t="s">
        <v>7</v>
      </c>
      <c r="C687" t="s">
        <v>8</v>
      </c>
      <c r="D687" t="str">
        <f>"B8BRV46"</f>
        <v>B8BRV46</v>
      </c>
      <c r="E687" t="s">
        <v>703</v>
      </c>
      <c r="F687" t="s">
        <v>615</v>
      </c>
      <c r="G687">
        <v>0.01</v>
      </c>
      <c r="H687" t="s">
        <v>11</v>
      </c>
    </row>
    <row r="688" spans="1:8" x14ac:dyDescent="0.25">
      <c r="A688" t="str">
        <f t="shared" si="10"/>
        <v>31-Jul-18</v>
      </c>
      <c r="B688" t="s">
        <v>7</v>
      </c>
      <c r="C688" t="s">
        <v>8</v>
      </c>
      <c r="D688" t="str">
        <f>"6472175"</f>
        <v>6472175</v>
      </c>
      <c r="E688" t="s">
        <v>704</v>
      </c>
      <c r="F688" t="s">
        <v>615</v>
      </c>
      <c r="G688">
        <v>4.0000000000000001E-3</v>
      </c>
      <c r="H688" t="s">
        <v>11</v>
      </c>
    </row>
    <row r="689" spans="1:8" x14ac:dyDescent="0.25">
      <c r="A689" t="str">
        <f t="shared" si="10"/>
        <v>31-Jul-18</v>
      </c>
      <c r="B689" t="s">
        <v>7</v>
      </c>
      <c r="C689" t="s">
        <v>8</v>
      </c>
      <c r="D689" t="str">
        <f>"6743882"</f>
        <v>6743882</v>
      </c>
      <c r="E689" t="s">
        <v>705</v>
      </c>
      <c r="F689" t="s">
        <v>615</v>
      </c>
      <c r="G689">
        <v>2.1000000000000001E-2</v>
      </c>
      <c r="H689" t="s">
        <v>11</v>
      </c>
    </row>
    <row r="690" spans="1:8" x14ac:dyDescent="0.25">
      <c r="A690" t="str">
        <f t="shared" si="10"/>
        <v>31-Jul-18</v>
      </c>
      <c r="B690" t="s">
        <v>7</v>
      </c>
      <c r="C690" t="s">
        <v>8</v>
      </c>
      <c r="D690" t="str">
        <f>"BYT8165"</f>
        <v>BYT8165</v>
      </c>
      <c r="E690" t="s">
        <v>706</v>
      </c>
      <c r="F690" t="s">
        <v>615</v>
      </c>
      <c r="G690">
        <v>1.0999999999999999E-2</v>
      </c>
      <c r="H690" t="s">
        <v>11</v>
      </c>
    </row>
    <row r="691" spans="1:8" x14ac:dyDescent="0.25">
      <c r="A691" t="str">
        <f t="shared" si="10"/>
        <v>31-Jul-18</v>
      </c>
      <c r="B691" t="s">
        <v>7</v>
      </c>
      <c r="C691" t="s">
        <v>8</v>
      </c>
      <c r="D691" t="str">
        <f>"BYT8143"</f>
        <v>BYT8143</v>
      </c>
      <c r="E691" t="s">
        <v>707</v>
      </c>
      <c r="F691" t="s">
        <v>615</v>
      </c>
      <c r="G691">
        <v>2.5999999999999999E-2</v>
      </c>
      <c r="H691" t="s">
        <v>11</v>
      </c>
    </row>
    <row r="692" spans="1:8" x14ac:dyDescent="0.25">
      <c r="A692" t="str">
        <f t="shared" si="10"/>
        <v>31-Jul-18</v>
      </c>
      <c r="B692" t="s">
        <v>7</v>
      </c>
      <c r="C692" t="s">
        <v>8</v>
      </c>
      <c r="D692" t="str">
        <f>"6528175"</f>
        <v>6528175</v>
      </c>
      <c r="E692" t="s">
        <v>708</v>
      </c>
      <c r="F692" t="s">
        <v>615</v>
      </c>
      <c r="G692">
        <v>5.0000000000000001E-3</v>
      </c>
      <c r="H692" t="s">
        <v>11</v>
      </c>
    </row>
    <row r="693" spans="1:8" x14ac:dyDescent="0.25">
      <c r="A693" t="str">
        <f t="shared" si="10"/>
        <v>31-Jul-18</v>
      </c>
      <c r="B693" t="s">
        <v>7</v>
      </c>
      <c r="C693" t="s">
        <v>8</v>
      </c>
      <c r="D693" t="str">
        <f>"6397580"</f>
        <v>6397580</v>
      </c>
      <c r="E693" t="s">
        <v>709</v>
      </c>
      <c r="F693" t="s">
        <v>615</v>
      </c>
      <c r="G693">
        <v>6.0000000000000001E-3</v>
      </c>
      <c r="H693" t="s">
        <v>11</v>
      </c>
    </row>
    <row r="694" spans="1:8" x14ac:dyDescent="0.25">
      <c r="A694" t="str">
        <f t="shared" si="10"/>
        <v>31-Jul-18</v>
      </c>
      <c r="B694" t="s">
        <v>7</v>
      </c>
      <c r="C694" t="s">
        <v>8</v>
      </c>
      <c r="D694" t="str">
        <f>"6513342"</f>
        <v>6513342</v>
      </c>
      <c r="E694" t="s">
        <v>710</v>
      </c>
      <c r="F694" t="s">
        <v>615</v>
      </c>
      <c r="G694">
        <v>8.9999999999999993E-3</v>
      </c>
      <c r="H694" t="s">
        <v>11</v>
      </c>
    </row>
    <row r="695" spans="1:8" x14ac:dyDescent="0.25">
      <c r="A695" t="str">
        <f t="shared" si="10"/>
        <v>31-Jul-18</v>
      </c>
      <c r="B695" t="s">
        <v>7</v>
      </c>
      <c r="C695" t="s">
        <v>8</v>
      </c>
      <c r="D695" t="str">
        <f>"6474535"</f>
        <v>6474535</v>
      </c>
      <c r="E695" t="s">
        <v>711</v>
      </c>
      <c r="F695" t="s">
        <v>615</v>
      </c>
      <c r="G695">
        <v>7.0999999999999994E-2</v>
      </c>
      <c r="H695" t="s">
        <v>11</v>
      </c>
    </row>
    <row r="696" spans="1:8" x14ac:dyDescent="0.25">
      <c r="A696" t="str">
        <f t="shared" si="10"/>
        <v>31-Jul-18</v>
      </c>
      <c r="B696" t="s">
        <v>7</v>
      </c>
      <c r="C696" t="s">
        <v>8</v>
      </c>
      <c r="D696" t="str">
        <f>"6248990"</f>
        <v>6248990</v>
      </c>
      <c r="E696" t="s">
        <v>712</v>
      </c>
      <c r="F696" t="s">
        <v>615</v>
      </c>
      <c r="G696">
        <v>0.214</v>
      </c>
      <c r="H696" t="s">
        <v>11</v>
      </c>
    </row>
    <row r="697" spans="1:8" x14ac:dyDescent="0.25">
      <c r="A697" t="str">
        <f t="shared" si="10"/>
        <v>31-Jul-18</v>
      </c>
      <c r="B697" t="s">
        <v>7</v>
      </c>
      <c r="C697" t="s">
        <v>8</v>
      </c>
      <c r="D697" t="str">
        <f>"6481320"</f>
        <v>6481320</v>
      </c>
      <c r="E697" t="s">
        <v>713</v>
      </c>
      <c r="F697" t="s">
        <v>615</v>
      </c>
      <c r="G697">
        <v>1.7000000000000001E-2</v>
      </c>
      <c r="H697" t="s">
        <v>11</v>
      </c>
    </row>
    <row r="698" spans="1:8" x14ac:dyDescent="0.25">
      <c r="A698" t="str">
        <f t="shared" si="10"/>
        <v>31-Jul-18</v>
      </c>
      <c r="B698" t="s">
        <v>7</v>
      </c>
      <c r="C698" t="s">
        <v>8</v>
      </c>
      <c r="D698" t="str">
        <f>"6689533"</f>
        <v>6689533</v>
      </c>
      <c r="E698" t="s">
        <v>714</v>
      </c>
      <c r="F698" t="s">
        <v>615</v>
      </c>
      <c r="G698">
        <v>6.0000000000000001E-3</v>
      </c>
      <c r="H698" t="s">
        <v>11</v>
      </c>
    </row>
    <row r="699" spans="1:8" x14ac:dyDescent="0.25">
      <c r="A699" t="str">
        <f t="shared" si="10"/>
        <v>31-Jul-18</v>
      </c>
      <c r="B699" t="s">
        <v>7</v>
      </c>
      <c r="C699" t="s">
        <v>8</v>
      </c>
      <c r="D699" t="str">
        <f>"6482668"</f>
        <v>6482668</v>
      </c>
      <c r="E699" t="s">
        <v>715</v>
      </c>
      <c r="F699" t="s">
        <v>615</v>
      </c>
      <c r="G699">
        <v>6.0000000000000001E-3</v>
      </c>
      <c r="H699" t="s">
        <v>11</v>
      </c>
    </row>
    <row r="700" spans="1:8" x14ac:dyDescent="0.25">
      <c r="A700" t="str">
        <f t="shared" si="10"/>
        <v>31-Jul-18</v>
      </c>
      <c r="B700" t="s">
        <v>7</v>
      </c>
      <c r="C700" t="s">
        <v>8</v>
      </c>
      <c r="D700" t="str">
        <f>"6483360"</f>
        <v>6483360</v>
      </c>
      <c r="E700" t="s">
        <v>716</v>
      </c>
      <c r="F700" t="s">
        <v>615</v>
      </c>
      <c r="G700">
        <v>4.0000000000000001E-3</v>
      </c>
      <c r="H700" t="s">
        <v>11</v>
      </c>
    </row>
    <row r="701" spans="1:8" x14ac:dyDescent="0.25">
      <c r="A701" t="str">
        <f t="shared" si="10"/>
        <v>31-Jul-18</v>
      </c>
      <c r="B701" t="s">
        <v>7</v>
      </c>
      <c r="C701" t="s">
        <v>8</v>
      </c>
      <c r="D701" t="str">
        <f>"6483489"</f>
        <v>6483489</v>
      </c>
      <c r="E701" t="s">
        <v>717</v>
      </c>
      <c r="F701" t="s">
        <v>615</v>
      </c>
      <c r="G701">
        <v>2.1999999999999999E-2</v>
      </c>
      <c r="H701" t="s">
        <v>11</v>
      </c>
    </row>
    <row r="702" spans="1:8" x14ac:dyDescent="0.25">
      <c r="A702" t="str">
        <f t="shared" si="10"/>
        <v>31-Jul-18</v>
      </c>
      <c r="B702" t="s">
        <v>7</v>
      </c>
      <c r="C702" t="s">
        <v>8</v>
      </c>
      <c r="D702" t="str">
        <f>"6483746"</f>
        <v>6483746</v>
      </c>
      <c r="E702" t="s">
        <v>718</v>
      </c>
      <c r="F702" t="s">
        <v>615</v>
      </c>
      <c r="G702">
        <v>1.7000000000000001E-2</v>
      </c>
      <c r="H702" t="s">
        <v>11</v>
      </c>
    </row>
    <row r="703" spans="1:8" x14ac:dyDescent="0.25">
      <c r="A703" t="str">
        <f t="shared" si="10"/>
        <v>31-Jul-18</v>
      </c>
      <c r="B703" t="s">
        <v>7</v>
      </c>
      <c r="C703" t="s">
        <v>8</v>
      </c>
      <c r="D703" t="str">
        <f>"6483809"</f>
        <v>6483809</v>
      </c>
      <c r="E703" t="s">
        <v>719</v>
      </c>
      <c r="F703" t="s">
        <v>615</v>
      </c>
      <c r="G703">
        <v>9.1999999999999998E-2</v>
      </c>
      <c r="H703" t="s">
        <v>11</v>
      </c>
    </row>
    <row r="704" spans="1:8" x14ac:dyDescent="0.25">
      <c r="A704" t="str">
        <f t="shared" si="10"/>
        <v>31-Jul-18</v>
      </c>
      <c r="B704" t="s">
        <v>7</v>
      </c>
      <c r="C704" t="s">
        <v>8</v>
      </c>
      <c r="D704" t="str">
        <f>"6484620"</f>
        <v>6484620</v>
      </c>
      <c r="E704" t="s">
        <v>720</v>
      </c>
      <c r="F704" t="s">
        <v>615</v>
      </c>
      <c r="G704">
        <v>1.9E-2</v>
      </c>
      <c r="H704" t="s">
        <v>11</v>
      </c>
    </row>
    <row r="705" spans="1:8" x14ac:dyDescent="0.25">
      <c r="A705" t="str">
        <f t="shared" si="10"/>
        <v>31-Jul-18</v>
      </c>
      <c r="B705" t="s">
        <v>7</v>
      </c>
      <c r="C705" t="s">
        <v>8</v>
      </c>
      <c r="D705" t="str">
        <f>"6487232"</f>
        <v>6487232</v>
      </c>
      <c r="E705" t="s">
        <v>721</v>
      </c>
      <c r="F705" t="s">
        <v>615</v>
      </c>
      <c r="G705">
        <v>1.9E-2</v>
      </c>
      <c r="H705" t="s">
        <v>11</v>
      </c>
    </row>
    <row r="706" spans="1:8" x14ac:dyDescent="0.25">
      <c r="A706" t="str">
        <f t="shared" ref="A706:A769" si="11">"31-Jul-18"</f>
        <v>31-Jul-18</v>
      </c>
      <c r="B706" t="s">
        <v>7</v>
      </c>
      <c r="C706" t="s">
        <v>8</v>
      </c>
      <c r="D706" t="str">
        <f>"6487306"</f>
        <v>6487306</v>
      </c>
      <c r="E706" t="s">
        <v>722</v>
      </c>
      <c r="F706" t="s">
        <v>615</v>
      </c>
      <c r="G706">
        <v>8.0000000000000002E-3</v>
      </c>
      <c r="H706" t="s">
        <v>11</v>
      </c>
    </row>
    <row r="707" spans="1:8" x14ac:dyDescent="0.25">
      <c r="A707" t="str">
        <f t="shared" si="11"/>
        <v>31-Jul-18</v>
      </c>
      <c r="B707" t="s">
        <v>7</v>
      </c>
      <c r="C707" t="s">
        <v>8</v>
      </c>
      <c r="D707" t="str">
        <f>"6487362"</f>
        <v>6487362</v>
      </c>
      <c r="E707" t="s">
        <v>723</v>
      </c>
      <c r="F707" t="s">
        <v>615</v>
      </c>
      <c r="G707">
        <v>2.1999999999999999E-2</v>
      </c>
      <c r="H707" t="s">
        <v>11</v>
      </c>
    </row>
    <row r="708" spans="1:8" x14ac:dyDescent="0.25">
      <c r="A708" t="str">
        <f t="shared" si="11"/>
        <v>31-Jul-18</v>
      </c>
      <c r="B708" t="s">
        <v>7</v>
      </c>
      <c r="C708" t="s">
        <v>8</v>
      </c>
      <c r="D708" t="str">
        <f>"6487425"</f>
        <v>6487425</v>
      </c>
      <c r="E708" t="s">
        <v>724</v>
      </c>
      <c r="F708" t="s">
        <v>615</v>
      </c>
      <c r="G708">
        <v>1.2999999999999999E-2</v>
      </c>
      <c r="H708" t="s">
        <v>11</v>
      </c>
    </row>
    <row r="709" spans="1:8" x14ac:dyDescent="0.25">
      <c r="A709" t="str">
        <f t="shared" si="11"/>
        <v>31-Jul-18</v>
      </c>
      <c r="B709" t="s">
        <v>7</v>
      </c>
      <c r="C709" t="s">
        <v>8</v>
      </c>
      <c r="D709" t="str">
        <f>"6490995"</f>
        <v>6490995</v>
      </c>
      <c r="E709" t="s">
        <v>725</v>
      </c>
      <c r="F709" t="s">
        <v>615</v>
      </c>
      <c r="G709">
        <v>0.107</v>
      </c>
      <c r="H709" t="s">
        <v>11</v>
      </c>
    </row>
    <row r="710" spans="1:8" x14ac:dyDescent="0.25">
      <c r="A710" t="str">
        <f t="shared" si="11"/>
        <v>31-Jul-18</v>
      </c>
      <c r="B710" t="s">
        <v>7</v>
      </c>
      <c r="C710" t="s">
        <v>8</v>
      </c>
      <c r="D710" t="str">
        <f>"6490809"</f>
        <v>6490809</v>
      </c>
      <c r="E710" t="s">
        <v>726</v>
      </c>
      <c r="F710" t="s">
        <v>615</v>
      </c>
      <c r="G710">
        <v>1.2999999999999999E-2</v>
      </c>
      <c r="H710" t="s">
        <v>11</v>
      </c>
    </row>
    <row r="711" spans="1:8" x14ac:dyDescent="0.25">
      <c r="A711" t="str">
        <f t="shared" si="11"/>
        <v>31-Jul-18</v>
      </c>
      <c r="B711" t="s">
        <v>7</v>
      </c>
      <c r="C711" t="s">
        <v>8</v>
      </c>
      <c r="D711" t="str">
        <f>"6492968"</f>
        <v>6492968</v>
      </c>
      <c r="E711" t="s">
        <v>727</v>
      </c>
      <c r="F711" t="s">
        <v>615</v>
      </c>
      <c r="G711">
        <v>1.6E-2</v>
      </c>
      <c r="H711" t="s">
        <v>11</v>
      </c>
    </row>
    <row r="712" spans="1:8" x14ac:dyDescent="0.25">
      <c r="A712" t="str">
        <f t="shared" si="11"/>
        <v>31-Jul-18</v>
      </c>
      <c r="B712" t="s">
        <v>7</v>
      </c>
      <c r="C712" t="s">
        <v>8</v>
      </c>
      <c r="D712" t="str">
        <f>"6493745"</f>
        <v>6493745</v>
      </c>
      <c r="E712" t="s">
        <v>728</v>
      </c>
      <c r="F712" t="s">
        <v>615</v>
      </c>
      <c r="G712">
        <v>4.5999999999999999E-2</v>
      </c>
      <c r="H712" t="s">
        <v>11</v>
      </c>
    </row>
    <row r="713" spans="1:8" x14ac:dyDescent="0.25">
      <c r="A713" t="str">
        <f t="shared" si="11"/>
        <v>31-Jul-18</v>
      </c>
      <c r="B713" t="s">
        <v>7</v>
      </c>
      <c r="C713" t="s">
        <v>8</v>
      </c>
      <c r="D713" t="str">
        <f>"6496023"</f>
        <v>6496023</v>
      </c>
      <c r="E713" t="s">
        <v>729</v>
      </c>
      <c r="F713" t="s">
        <v>615</v>
      </c>
      <c r="G713">
        <v>4.0000000000000001E-3</v>
      </c>
      <c r="H713" t="s">
        <v>11</v>
      </c>
    </row>
    <row r="714" spans="1:8" x14ac:dyDescent="0.25">
      <c r="A714" t="str">
        <f t="shared" si="11"/>
        <v>31-Jul-18</v>
      </c>
      <c r="B714" t="s">
        <v>7</v>
      </c>
      <c r="C714" t="s">
        <v>8</v>
      </c>
      <c r="D714" t="str">
        <f>"6496324"</f>
        <v>6496324</v>
      </c>
      <c r="E714" t="s">
        <v>730</v>
      </c>
      <c r="F714" t="s">
        <v>615</v>
      </c>
      <c r="G714">
        <v>8.0000000000000002E-3</v>
      </c>
      <c r="H714" t="s">
        <v>11</v>
      </c>
    </row>
    <row r="715" spans="1:8" x14ac:dyDescent="0.25">
      <c r="A715" t="str">
        <f t="shared" si="11"/>
        <v>31-Jul-18</v>
      </c>
      <c r="B715" t="s">
        <v>7</v>
      </c>
      <c r="C715" t="s">
        <v>8</v>
      </c>
      <c r="D715" t="str">
        <f>"6496584"</f>
        <v>6496584</v>
      </c>
      <c r="E715" t="s">
        <v>731</v>
      </c>
      <c r="F715" t="s">
        <v>615</v>
      </c>
      <c r="G715">
        <v>0.115</v>
      </c>
      <c r="H715" t="s">
        <v>11</v>
      </c>
    </row>
    <row r="716" spans="1:8" x14ac:dyDescent="0.25">
      <c r="A716" t="str">
        <f t="shared" si="11"/>
        <v>31-Jul-18</v>
      </c>
      <c r="B716" t="s">
        <v>7</v>
      </c>
      <c r="C716" t="s">
        <v>8</v>
      </c>
      <c r="D716" t="str">
        <f>"6496681"</f>
        <v>6496681</v>
      </c>
      <c r="E716" t="s">
        <v>732</v>
      </c>
      <c r="F716" t="s">
        <v>615</v>
      </c>
      <c r="G716">
        <v>7.0000000000000001E-3</v>
      </c>
      <c r="H716" t="s">
        <v>11</v>
      </c>
    </row>
    <row r="717" spans="1:8" x14ac:dyDescent="0.25">
      <c r="A717" t="str">
        <f t="shared" si="11"/>
        <v>31-Jul-18</v>
      </c>
      <c r="B717" t="s">
        <v>7</v>
      </c>
      <c r="C717" t="s">
        <v>8</v>
      </c>
      <c r="D717" t="str">
        <f>"6496700"</f>
        <v>6496700</v>
      </c>
      <c r="E717" t="s">
        <v>733</v>
      </c>
      <c r="F717" t="s">
        <v>615</v>
      </c>
      <c r="G717">
        <v>3.0000000000000001E-3</v>
      </c>
      <c r="H717" t="s">
        <v>11</v>
      </c>
    </row>
    <row r="718" spans="1:8" x14ac:dyDescent="0.25">
      <c r="A718" t="str">
        <f t="shared" si="11"/>
        <v>31-Jul-18</v>
      </c>
      <c r="B718" t="s">
        <v>7</v>
      </c>
      <c r="C718" t="s">
        <v>8</v>
      </c>
      <c r="D718" t="str">
        <f>"6194468"</f>
        <v>6194468</v>
      </c>
      <c r="E718" t="s">
        <v>734</v>
      </c>
      <c r="F718" t="s">
        <v>615</v>
      </c>
      <c r="G718">
        <v>0.01</v>
      </c>
      <c r="H718" t="s">
        <v>11</v>
      </c>
    </row>
    <row r="719" spans="1:8" x14ac:dyDescent="0.25">
      <c r="A719" t="str">
        <f t="shared" si="11"/>
        <v>31-Jul-18</v>
      </c>
      <c r="B719" t="s">
        <v>7</v>
      </c>
      <c r="C719" t="s">
        <v>8</v>
      </c>
      <c r="D719" t="str">
        <f>"6497509"</f>
        <v>6497509</v>
      </c>
      <c r="E719" t="s">
        <v>735</v>
      </c>
      <c r="F719" t="s">
        <v>615</v>
      </c>
      <c r="G719">
        <v>3.9E-2</v>
      </c>
      <c r="H719" t="s">
        <v>11</v>
      </c>
    </row>
    <row r="720" spans="1:8" x14ac:dyDescent="0.25">
      <c r="A720" t="str">
        <f t="shared" si="11"/>
        <v>31-Jul-18</v>
      </c>
      <c r="B720" t="s">
        <v>7</v>
      </c>
      <c r="C720" t="s">
        <v>8</v>
      </c>
      <c r="D720" t="str">
        <f>"6497662"</f>
        <v>6497662</v>
      </c>
      <c r="E720" t="s">
        <v>736</v>
      </c>
      <c r="F720" t="s">
        <v>615</v>
      </c>
      <c r="G720">
        <v>7.0000000000000001E-3</v>
      </c>
      <c r="H720" t="s">
        <v>11</v>
      </c>
    </row>
    <row r="721" spans="1:8" x14ac:dyDescent="0.25">
      <c r="A721" t="str">
        <f t="shared" si="11"/>
        <v>31-Jul-18</v>
      </c>
      <c r="B721" t="s">
        <v>7</v>
      </c>
      <c r="C721" t="s">
        <v>8</v>
      </c>
      <c r="D721" t="str">
        <f>"6497963"</f>
        <v>6497963</v>
      </c>
      <c r="E721" t="s">
        <v>737</v>
      </c>
      <c r="F721" t="s">
        <v>615</v>
      </c>
      <c r="G721">
        <v>6.0000000000000001E-3</v>
      </c>
      <c r="H721" t="s">
        <v>11</v>
      </c>
    </row>
    <row r="722" spans="1:8" x14ac:dyDescent="0.25">
      <c r="A722" t="str">
        <f t="shared" si="11"/>
        <v>31-Jul-18</v>
      </c>
      <c r="B722" t="s">
        <v>7</v>
      </c>
      <c r="C722" t="s">
        <v>8</v>
      </c>
      <c r="D722" t="str">
        <f>"6499260"</f>
        <v>6499260</v>
      </c>
      <c r="E722" t="s">
        <v>738</v>
      </c>
      <c r="F722" t="s">
        <v>615</v>
      </c>
      <c r="G722">
        <v>3.1E-2</v>
      </c>
      <c r="H722" t="s">
        <v>11</v>
      </c>
    </row>
    <row r="723" spans="1:8" x14ac:dyDescent="0.25">
      <c r="A723" t="str">
        <f t="shared" si="11"/>
        <v>31-Jul-18</v>
      </c>
      <c r="B723" t="s">
        <v>7</v>
      </c>
      <c r="C723" t="s">
        <v>8</v>
      </c>
      <c r="D723" t="str">
        <f>"6499550"</f>
        <v>6499550</v>
      </c>
      <c r="E723" t="s">
        <v>739</v>
      </c>
      <c r="F723" t="s">
        <v>615</v>
      </c>
      <c r="G723">
        <v>1.7000000000000001E-2</v>
      </c>
      <c r="H723" t="s">
        <v>11</v>
      </c>
    </row>
    <row r="724" spans="1:8" x14ac:dyDescent="0.25">
      <c r="A724" t="str">
        <f t="shared" si="11"/>
        <v>31-Jul-18</v>
      </c>
      <c r="B724" t="s">
        <v>7</v>
      </c>
      <c r="C724" t="s">
        <v>8</v>
      </c>
      <c r="D724" t="str">
        <f>"6499806"</f>
        <v>6499806</v>
      </c>
      <c r="E724" t="s">
        <v>740</v>
      </c>
      <c r="F724" t="s">
        <v>615</v>
      </c>
      <c r="G724">
        <v>1.0999999999999999E-2</v>
      </c>
      <c r="H724" t="s">
        <v>11</v>
      </c>
    </row>
    <row r="725" spans="1:8" x14ac:dyDescent="0.25">
      <c r="A725" t="str">
        <f t="shared" si="11"/>
        <v>31-Jul-18</v>
      </c>
      <c r="B725" t="s">
        <v>7</v>
      </c>
      <c r="C725" t="s">
        <v>8</v>
      </c>
      <c r="D725" t="str">
        <f>"BD2BST6"</f>
        <v>BD2BST6</v>
      </c>
      <c r="E725" t="s">
        <v>741</v>
      </c>
      <c r="F725" t="s">
        <v>615</v>
      </c>
      <c r="G725">
        <v>1.7999999999999999E-2</v>
      </c>
      <c r="H725" t="s">
        <v>11</v>
      </c>
    </row>
    <row r="726" spans="1:8" x14ac:dyDescent="0.25">
      <c r="A726" t="str">
        <f t="shared" si="11"/>
        <v>31-Jul-18</v>
      </c>
      <c r="B726" t="s">
        <v>7</v>
      </c>
      <c r="C726" t="s">
        <v>8</v>
      </c>
      <c r="D726" t="str">
        <f>"BZB1Y59"</f>
        <v>BZB1Y59</v>
      </c>
      <c r="E726" t="s">
        <v>742</v>
      </c>
      <c r="F726" t="s">
        <v>615</v>
      </c>
      <c r="G726">
        <v>4.0000000000000001E-3</v>
      </c>
      <c r="H726" t="s">
        <v>11</v>
      </c>
    </row>
    <row r="727" spans="1:8" x14ac:dyDescent="0.25">
      <c r="A727" t="str">
        <f t="shared" si="11"/>
        <v>31-Jul-18</v>
      </c>
      <c r="B727" t="s">
        <v>7</v>
      </c>
      <c r="C727" t="s">
        <v>8</v>
      </c>
      <c r="D727" t="str">
        <f>"6900212"</f>
        <v>6900212</v>
      </c>
      <c r="E727" t="s">
        <v>743</v>
      </c>
      <c r="F727" t="s">
        <v>615</v>
      </c>
      <c r="G727">
        <v>1.2E-2</v>
      </c>
      <c r="H727" t="s">
        <v>11</v>
      </c>
    </row>
    <row r="728" spans="1:8" x14ac:dyDescent="0.25">
      <c r="A728" t="str">
        <f t="shared" si="11"/>
        <v>31-Jul-18</v>
      </c>
      <c r="B728" t="s">
        <v>7</v>
      </c>
      <c r="C728" t="s">
        <v>8</v>
      </c>
      <c r="D728" t="str">
        <f>"6266914"</f>
        <v>6266914</v>
      </c>
      <c r="E728" t="s">
        <v>744</v>
      </c>
      <c r="F728" t="s">
        <v>615</v>
      </c>
      <c r="G728">
        <v>1.0999999999999999E-2</v>
      </c>
      <c r="H728" t="s">
        <v>11</v>
      </c>
    </row>
    <row r="729" spans="1:8" x14ac:dyDescent="0.25">
      <c r="A729" t="str">
        <f t="shared" si="11"/>
        <v>31-Jul-18</v>
      </c>
      <c r="B729" t="s">
        <v>7</v>
      </c>
      <c r="C729" t="s">
        <v>8</v>
      </c>
      <c r="D729" t="str">
        <f>"6518808"</f>
        <v>6518808</v>
      </c>
      <c r="E729" t="s">
        <v>745</v>
      </c>
      <c r="F729" t="s">
        <v>615</v>
      </c>
      <c r="G729">
        <v>7.0000000000000001E-3</v>
      </c>
      <c r="H729" t="s">
        <v>11</v>
      </c>
    </row>
    <row r="730" spans="1:8" x14ac:dyDescent="0.25">
      <c r="A730" t="str">
        <f t="shared" si="11"/>
        <v>31-Jul-18</v>
      </c>
      <c r="B730" t="s">
        <v>7</v>
      </c>
      <c r="C730" t="s">
        <v>8</v>
      </c>
      <c r="D730" t="str">
        <f>"B02K2M3"</f>
        <v>B02K2M3</v>
      </c>
      <c r="E730" t="s">
        <v>746</v>
      </c>
      <c r="F730" t="s">
        <v>615</v>
      </c>
      <c r="G730">
        <v>1.4999999999999999E-2</v>
      </c>
      <c r="H730" t="s">
        <v>11</v>
      </c>
    </row>
    <row r="731" spans="1:8" x14ac:dyDescent="0.25">
      <c r="A731" t="str">
        <f t="shared" si="11"/>
        <v>31-Jul-18</v>
      </c>
      <c r="B731" t="s">
        <v>7</v>
      </c>
      <c r="C731" t="s">
        <v>8</v>
      </c>
      <c r="D731" t="str">
        <f>"B60DQV3"</f>
        <v>B60DQV3</v>
      </c>
      <c r="E731" t="s">
        <v>747</v>
      </c>
      <c r="F731" t="s">
        <v>615</v>
      </c>
      <c r="G731">
        <v>7.0000000000000001E-3</v>
      </c>
      <c r="H731" t="s">
        <v>11</v>
      </c>
    </row>
    <row r="732" spans="1:8" x14ac:dyDescent="0.25">
      <c r="A732" t="str">
        <f t="shared" si="11"/>
        <v>31-Jul-18</v>
      </c>
      <c r="B732" t="s">
        <v>7</v>
      </c>
      <c r="C732" t="s">
        <v>8</v>
      </c>
      <c r="D732" t="str">
        <f>"6642406"</f>
        <v>6642406</v>
      </c>
      <c r="E732" t="s">
        <v>748</v>
      </c>
      <c r="F732" t="s">
        <v>615</v>
      </c>
      <c r="G732">
        <v>8.0000000000000002E-3</v>
      </c>
      <c r="H732" t="s">
        <v>11</v>
      </c>
    </row>
    <row r="733" spans="1:8" x14ac:dyDescent="0.25">
      <c r="A733" t="str">
        <f t="shared" si="11"/>
        <v>31-Jul-18</v>
      </c>
      <c r="B733" t="s">
        <v>7</v>
      </c>
      <c r="C733" t="s">
        <v>8</v>
      </c>
      <c r="D733" t="str">
        <f>"6595179"</f>
        <v>6595179</v>
      </c>
      <c r="E733" t="s">
        <v>749</v>
      </c>
      <c r="F733" t="s">
        <v>615</v>
      </c>
      <c r="G733">
        <v>8.9999999999999993E-3</v>
      </c>
      <c r="H733" t="s">
        <v>11</v>
      </c>
    </row>
    <row r="734" spans="1:8" x14ac:dyDescent="0.25">
      <c r="A734" t="str">
        <f t="shared" si="11"/>
        <v>31-Jul-18</v>
      </c>
      <c r="B734" t="s">
        <v>7</v>
      </c>
      <c r="C734" t="s">
        <v>8</v>
      </c>
      <c r="D734" t="str">
        <f>"B2Q4CS1"</f>
        <v>B2Q4CS1</v>
      </c>
      <c r="E734" t="s">
        <v>750</v>
      </c>
      <c r="F734" t="s">
        <v>615</v>
      </c>
      <c r="G734">
        <v>0.03</v>
      </c>
      <c r="H734" t="s">
        <v>11</v>
      </c>
    </row>
    <row r="735" spans="1:8" x14ac:dyDescent="0.25">
      <c r="A735" t="str">
        <f t="shared" si="11"/>
        <v>31-Jul-18</v>
      </c>
      <c r="B735" t="s">
        <v>7</v>
      </c>
      <c r="C735" t="s">
        <v>8</v>
      </c>
      <c r="D735" t="str">
        <f>"6551030"</f>
        <v>6551030</v>
      </c>
      <c r="E735" t="s">
        <v>751</v>
      </c>
      <c r="F735" t="s">
        <v>615</v>
      </c>
      <c r="G735">
        <v>4.0000000000000001E-3</v>
      </c>
      <c r="H735" t="s">
        <v>11</v>
      </c>
    </row>
    <row r="736" spans="1:8" x14ac:dyDescent="0.25">
      <c r="A736" t="str">
        <f t="shared" si="11"/>
        <v>31-Jul-18</v>
      </c>
      <c r="B736" t="s">
        <v>7</v>
      </c>
      <c r="C736" t="s">
        <v>8</v>
      </c>
      <c r="D736" t="str">
        <f>"6555805"</f>
        <v>6555805</v>
      </c>
      <c r="E736" t="s">
        <v>752</v>
      </c>
      <c r="F736" t="s">
        <v>615</v>
      </c>
      <c r="G736">
        <v>1.2999999999999999E-2</v>
      </c>
      <c r="H736" t="s">
        <v>11</v>
      </c>
    </row>
    <row r="737" spans="1:8" x14ac:dyDescent="0.25">
      <c r="A737" t="str">
        <f t="shared" si="11"/>
        <v>31-Jul-18</v>
      </c>
      <c r="B737" t="s">
        <v>7</v>
      </c>
      <c r="C737" t="s">
        <v>8</v>
      </c>
      <c r="D737" t="str">
        <f>"6569464"</f>
        <v>6569464</v>
      </c>
      <c r="E737" t="s">
        <v>753</v>
      </c>
      <c r="F737" t="s">
        <v>615</v>
      </c>
      <c r="G737">
        <v>3.1E-2</v>
      </c>
      <c r="H737" t="s">
        <v>11</v>
      </c>
    </row>
    <row r="738" spans="1:8" x14ac:dyDescent="0.25">
      <c r="A738" t="str">
        <f t="shared" si="11"/>
        <v>31-Jul-18</v>
      </c>
      <c r="B738" t="s">
        <v>7</v>
      </c>
      <c r="C738" t="s">
        <v>8</v>
      </c>
      <c r="D738" t="str">
        <f>"6569527"</f>
        <v>6569527</v>
      </c>
      <c r="E738" t="s">
        <v>754</v>
      </c>
      <c r="F738" t="s">
        <v>615</v>
      </c>
      <c r="G738">
        <v>0.01</v>
      </c>
      <c r="H738" t="s">
        <v>11</v>
      </c>
    </row>
    <row r="739" spans="1:8" x14ac:dyDescent="0.25">
      <c r="A739" t="str">
        <f t="shared" si="11"/>
        <v>31-Jul-18</v>
      </c>
      <c r="B739" t="s">
        <v>7</v>
      </c>
      <c r="C739" t="s">
        <v>8</v>
      </c>
      <c r="D739" t="str">
        <f>"6569505"</f>
        <v>6569505</v>
      </c>
      <c r="E739" t="s">
        <v>755</v>
      </c>
      <c r="F739" t="s">
        <v>615</v>
      </c>
      <c r="G739">
        <v>1E-3</v>
      </c>
      <c r="H739" t="s">
        <v>11</v>
      </c>
    </row>
    <row r="740" spans="1:8" x14ac:dyDescent="0.25">
      <c r="A740" t="str">
        <f t="shared" si="11"/>
        <v>31-Jul-18</v>
      </c>
      <c r="B740" t="s">
        <v>7</v>
      </c>
      <c r="C740" t="s">
        <v>8</v>
      </c>
      <c r="D740" t="str">
        <f>"6900308"</f>
        <v>6900308</v>
      </c>
      <c r="E740" t="s">
        <v>756</v>
      </c>
      <c r="F740" t="s">
        <v>615</v>
      </c>
      <c r="G740">
        <v>1.0999999999999999E-2</v>
      </c>
      <c r="H740" t="s">
        <v>11</v>
      </c>
    </row>
    <row r="741" spans="1:8" x14ac:dyDescent="0.25">
      <c r="A741" t="str">
        <f t="shared" si="11"/>
        <v>31-Jul-18</v>
      </c>
      <c r="B741" t="s">
        <v>7</v>
      </c>
      <c r="C741" t="s">
        <v>8</v>
      </c>
      <c r="D741" t="str">
        <f>"6371863"</f>
        <v>6371863</v>
      </c>
      <c r="E741" t="s">
        <v>757</v>
      </c>
      <c r="F741" t="s">
        <v>615</v>
      </c>
      <c r="G741">
        <v>7.0000000000000001E-3</v>
      </c>
      <c r="H741" t="s">
        <v>11</v>
      </c>
    </row>
    <row r="742" spans="1:8" x14ac:dyDescent="0.25">
      <c r="A742" t="str">
        <f t="shared" si="11"/>
        <v>31-Jul-18</v>
      </c>
      <c r="B742" t="s">
        <v>7</v>
      </c>
      <c r="C742" t="s">
        <v>8</v>
      </c>
      <c r="D742" t="str">
        <f>"BH0VTS2"</f>
        <v>BH0VTS2</v>
      </c>
      <c r="E742" t="s">
        <v>758</v>
      </c>
      <c r="F742" t="s">
        <v>615</v>
      </c>
      <c r="G742">
        <v>2E-3</v>
      </c>
      <c r="H742" t="s">
        <v>11</v>
      </c>
    </row>
    <row r="743" spans="1:8" x14ac:dyDescent="0.25">
      <c r="A743" t="str">
        <f t="shared" si="11"/>
        <v>31-Jul-18</v>
      </c>
      <c r="B743" t="s">
        <v>7</v>
      </c>
      <c r="C743" t="s">
        <v>8</v>
      </c>
      <c r="D743" t="str">
        <f>"6782090"</f>
        <v>6782090</v>
      </c>
      <c r="E743" t="s">
        <v>759</v>
      </c>
      <c r="F743" t="s">
        <v>615</v>
      </c>
      <c r="G743">
        <v>0.01</v>
      </c>
      <c r="H743" t="s">
        <v>11</v>
      </c>
    </row>
    <row r="744" spans="1:8" x14ac:dyDescent="0.25">
      <c r="A744" t="str">
        <f t="shared" si="11"/>
        <v>31-Jul-18</v>
      </c>
      <c r="B744" t="s">
        <v>7</v>
      </c>
      <c r="C744" t="s">
        <v>8</v>
      </c>
      <c r="D744" t="str">
        <f>"B0JQTJ0"</f>
        <v>B0JQTJ0</v>
      </c>
      <c r="E744" t="s">
        <v>760</v>
      </c>
      <c r="F744" t="s">
        <v>615</v>
      </c>
      <c r="G744">
        <v>2.9000000000000001E-2</v>
      </c>
      <c r="H744" t="s">
        <v>11</v>
      </c>
    </row>
    <row r="745" spans="1:8" x14ac:dyDescent="0.25">
      <c r="A745" t="str">
        <f t="shared" si="11"/>
        <v>31-Jul-18</v>
      </c>
      <c r="B745" t="s">
        <v>7</v>
      </c>
      <c r="C745" t="s">
        <v>8</v>
      </c>
      <c r="D745" t="str">
        <f>"6596785"</f>
        <v>6596785</v>
      </c>
      <c r="E745" t="s">
        <v>761</v>
      </c>
      <c r="F745" t="s">
        <v>615</v>
      </c>
      <c r="G745">
        <v>6.8000000000000005E-2</v>
      </c>
      <c r="H745" t="s">
        <v>11</v>
      </c>
    </row>
    <row r="746" spans="1:8" x14ac:dyDescent="0.25">
      <c r="A746" t="str">
        <f t="shared" si="11"/>
        <v>31-Jul-18</v>
      </c>
      <c r="B746" t="s">
        <v>7</v>
      </c>
      <c r="C746" t="s">
        <v>8</v>
      </c>
      <c r="D746" t="str">
        <f>"6597045"</f>
        <v>6597045</v>
      </c>
      <c r="E746" t="s">
        <v>762</v>
      </c>
      <c r="F746" t="s">
        <v>615</v>
      </c>
      <c r="G746">
        <v>5.7000000000000002E-2</v>
      </c>
      <c r="H746" t="s">
        <v>11</v>
      </c>
    </row>
    <row r="747" spans="1:8" x14ac:dyDescent="0.25">
      <c r="A747" t="str">
        <f t="shared" si="11"/>
        <v>31-Jul-18</v>
      </c>
      <c r="B747" t="s">
        <v>7</v>
      </c>
      <c r="C747" t="s">
        <v>8</v>
      </c>
      <c r="D747" t="str">
        <f>"6596729"</f>
        <v>6596729</v>
      </c>
      <c r="E747" t="s">
        <v>763</v>
      </c>
      <c r="F747" t="s">
        <v>615</v>
      </c>
      <c r="G747">
        <v>4.7E-2</v>
      </c>
      <c r="H747" t="s">
        <v>11</v>
      </c>
    </row>
    <row r="748" spans="1:8" x14ac:dyDescent="0.25">
      <c r="A748" t="str">
        <f t="shared" si="11"/>
        <v>31-Jul-18</v>
      </c>
      <c r="B748" t="s">
        <v>7</v>
      </c>
      <c r="C748" t="s">
        <v>8</v>
      </c>
      <c r="D748" t="str">
        <f>"6596923"</f>
        <v>6596923</v>
      </c>
      <c r="E748" t="s">
        <v>764</v>
      </c>
      <c r="F748" t="s">
        <v>615</v>
      </c>
      <c r="G748">
        <v>5.0000000000000001E-3</v>
      </c>
      <c r="H748" t="s">
        <v>11</v>
      </c>
    </row>
    <row r="749" spans="1:8" x14ac:dyDescent="0.25">
      <c r="A749" t="str">
        <f t="shared" si="11"/>
        <v>31-Jul-18</v>
      </c>
      <c r="B749" t="s">
        <v>7</v>
      </c>
      <c r="C749" t="s">
        <v>8</v>
      </c>
      <c r="D749" t="str">
        <f>"6597067"</f>
        <v>6597067</v>
      </c>
      <c r="E749" t="s">
        <v>765</v>
      </c>
      <c r="F749" t="s">
        <v>615</v>
      </c>
      <c r="G749">
        <v>2.7E-2</v>
      </c>
      <c r="H749" t="s">
        <v>11</v>
      </c>
    </row>
    <row r="750" spans="1:8" x14ac:dyDescent="0.25">
      <c r="A750" t="str">
        <f t="shared" si="11"/>
        <v>31-Jul-18</v>
      </c>
      <c r="B750" t="s">
        <v>7</v>
      </c>
      <c r="C750" t="s">
        <v>8</v>
      </c>
      <c r="D750" t="str">
        <f>"6597089"</f>
        <v>6597089</v>
      </c>
      <c r="E750" t="s">
        <v>766</v>
      </c>
      <c r="F750" t="s">
        <v>615</v>
      </c>
      <c r="G750">
        <v>6.0000000000000001E-3</v>
      </c>
      <c r="H750" t="s">
        <v>11</v>
      </c>
    </row>
    <row r="751" spans="1:8" x14ac:dyDescent="0.25">
      <c r="A751" t="str">
        <f t="shared" si="11"/>
        <v>31-Jul-18</v>
      </c>
      <c r="B751" t="s">
        <v>7</v>
      </c>
      <c r="C751" t="s">
        <v>8</v>
      </c>
      <c r="D751" t="str">
        <f>"6870984"</f>
        <v>6870984</v>
      </c>
      <c r="E751" t="s">
        <v>767</v>
      </c>
      <c r="F751" t="s">
        <v>615</v>
      </c>
      <c r="G751">
        <v>2.1999999999999999E-2</v>
      </c>
      <c r="H751" t="s">
        <v>11</v>
      </c>
    </row>
    <row r="752" spans="1:8" x14ac:dyDescent="0.25">
      <c r="A752" t="str">
        <f t="shared" si="11"/>
        <v>31-Jul-18</v>
      </c>
      <c r="B752" t="s">
        <v>7</v>
      </c>
      <c r="C752" t="s">
        <v>8</v>
      </c>
      <c r="D752" t="str">
        <f>"6335171"</f>
        <v>6335171</v>
      </c>
      <c r="E752" t="s">
        <v>768</v>
      </c>
      <c r="F752" t="s">
        <v>615</v>
      </c>
      <c r="G752">
        <v>0.156</v>
      </c>
      <c r="H752" t="s">
        <v>11</v>
      </c>
    </row>
    <row r="753" spans="1:8" x14ac:dyDescent="0.25">
      <c r="A753" t="str">
        <f t="shared" si="11"/>
        <v>31-Jul-18</v>
      </c>
      <c r="B753" t="s">
        <v>7</v>
      </c>
      <c r="C753" t="s">
        <v>8</v>
      </c>
      <c r="D753" t="str">
        <f>"6268976"</f>
        <v>6268976</v>
      </c>
      <c r="E753" t="s">
        <v>769</v>
      </c>
      <c r="F753" t="s">
        <v>615</v>
      </c>
      <c r="G753">
        <v>4.0000000000000001E-3</v>
      </c>
      <c r="H753" t="s">
        <v>11</v>
      </c>
    </row>
    <row r="754" spans="1:8" x14ac:dyDescent="0.25">
      <c r="A754" t="str">
        <f t="shared" si="11"/>
        <v>31-Jul-18</v>
      </c>
      <c r="B754" t="s">
        <v>7</v>
      </c>
      <c r="C754" t="s">
        <v>8</v>
      </c>
      <c r="D754" t="str">
        <f>"6597302"</f>
        <v>6597302</v>
      </c>
      <c r="E754" t="s">
        <v>770</v>
      </c>
      <c r="F754" t="s">
        <v>615</v>
      </c>
      <c r="G754">
        <v>5.6000000000000001E-2</v>
      </c>
      <c r="H754" t="s">
        <v>11</v>
      </c>
    </row>
    <row r="755" spans="1:8" x14ac:dyDescent="0.25">
      <c r="A755" t="str">
        <f t="shared" si="11"/>
        <v>31-Jul-18</v>
      </c>
      <c r="B755" t="s">
        <v>7</v>
      </c>
      <c r="C755" t="s">
        <v>8</v>
      </c>
      <c r="D755" t="str">
        <f>"6597368"</f>
        <v>6597368</v>
      </c>
      <c r="E755" t="s">
        <v>771</v>
      </c>
      <c r="F755" t="s">
        <v>615</v>
      </c>
      <c r="G755">
        <v>7.0000000000000001E-3</v>
      </c>
      <c r="H755" t="s">
        <v>11</v>
      </c>
    </row>
    <row r="756" spans="1:8" x14ac:dyDescent="0.25">
      <c r="A756" t="str">
        <f t="shared" si="11"/>
        <v>31-Jul-18</v>
      </c>
      <c r="B756" t="s">
        <v>7</v>
      </c>
      <c r="C756" t="s">
        <v>8</v>
      </c>
      <c r="D756" t="str">
        <f>"6597603"</f>
        <v>6597603</v>
      </c>
      <c r="E756" t="s">
        <v>772</v>
      </c>
      <c r="F756" t="s">
        <v>615</v>
      </c>
      <c r="G756">
        <v>4.5999999999999999E-2</v>
      </c>
      <c r="H756" t="s">
        <v>11</v>
      </c>
    </row>
    <row r="757" spans="1:8" x14ac:dyDescent="0.25">
      <c r="A757" t="str">
        <f t="shared" si="11"/>
        <v>31-Jul-18</v>
      </c>
      <c r="B757" t="s">
        <v>7</v>
      </c>
      <c r="C757" t="s">
        <v>8</v>
      </c>
      <c r="D757" t="str">
        <f>"6597584"</f>
        <v>6597584</v>
      </c>
      <c r="E757" t="s">
        <v>773</v>
      </c>
      <c r="F757" t="s">
        <v>615</v>
      </c>
      <c r="G757">
        <v>5.0000000000000001E-3</v>
      </c>
      <c r="H757" t="s">
        <v>11</v>
      </c>
    </row>
    <row r="758" spans="1:8" x14ac:dyDescent="0.25">
      <c r="A758" t="str">
        <f t="shared" si="11"/>
        <v>31-Jul-18</v>
      </c>
      <c r="B758" t="s">
        <v>7</v>
      </c>
      <c r="C758" t="s">
        <v>8</v>
      </c>
      <c r="D758" t="str">
        <f>"6591014"</f>
        <v>6591014</v>
      </c>
      <c r="E758" t="s">
        <v>774</v>
      </c>
      <c r="F758" t="s">
        <v>615</v>
      </c>
      <c r="G758">
        <v>8.5000000000000006E-2</v>
      </c>
      <c r="H758" t="s">
        <v>11</v>
      </c>
    </row>
    <row r="759" spans="1:8" x14ac:dyDescent="0.25">
      <c r="A759" t="str">
        <f t="shared" si="11"/>
        <v>31-Jul-18</v>
      </c>
      <c r="B759" t="s">
        <v>7</v>
      </c>
      <c r="C759" t="s">
        <v>8</v>
      </c>
      <c r="D759" t="str">
        <f>"6610403"</f>
        <v>6610403</v>
      </c>
      <c r="E759" t="s">
        <v>775</v>
      </c>
      <c r="F759" t="s">
        <v>615</v>
      </c>
      <c r="G759">
        <v>0.13400000000000001</v>
      </c>
      <c r="H759" t="s">
        <v>11</v>
      </c>
    </row>
    <row r="760" spans="1:8" x14ac:dyDescent="0.25">
      <c r="A760" t="str">
        <f t="shared" si="11"/>
        <v>31-Jul-18</v>
      </c>
      <c r="B760" t="s">
        <v>7</v>
      </c>
      <c r="C760" t="s">
        <v>8</v>
      </c>
      <c r="D760" t="str">
        <f>"6640400"</f>
        <v>6640400</v>
      </c>
      <c r="E760" t="s">
        <v>776</v>
      </c>
      <c r="F760" t="s">
        <v>615</v>
      </c>
      <c r="G760">
        <v>1.2999999999999999E-2</v>
      </c>
      <c r="H760" t="s">
        <v>11</v>
      </c>
    </row>
    <row r="761" spans="1:8" x14ac:dyDescent="0.25">
      <c r="A761" t="str">
        <f t="shared" si="11"/>
        <v>31-Jul-18</v>
      </c>
      <c r="B761" t="s">
        <v>7</v>
      </c>
      <c r="C761" t="s">
        <v>8</v>
      </c>
      <c r="D761" t="str">
        <f>"6619507"</f>
        <v>6619507</v>
      </c>
      <c r="E761" t="s">
        <v>777</v>
      </c>
      <c r="F761" t="s">
        <v>615</v>
      </c>
      <c r="G761">
        <v>2.1000000000000001E-2</v>
      </c>
      <c r="H761" t="s">
        <v>11</v>
      </c>
    </row>
    <row r="762" spans="1:8" x14ac:dyDescent="0.25">
      <c r="A762" t="str">
        <f t="shared" si="11"/>
        <v>31-Jul-18</v>
      </c>
      <c r="B762" t="s">
        <v>7</v>
      </c>
      <c r="C762" t="s">
        <v>8</v>
      </c>
      <c r="D762" t="str">
        <f>"6619604"</f>
        <v>6619604</v>
      </c>
      <c r="E762" t="s">
        <v>778</v>
      </c>
      <c r="F762" t="s">
        <v>615</v>
      </c>
      <c r="G762">
        <v>0.01</v>
      </c>
      <c r="H762" t="s">
        <v>11</v>
      </c>
    </row>
    <row r="763" spans="1:8" x14ac:dyDescent="0.25">
      <c r="A763" t="str">
        <f t="shared" si="11"/>
        <v>31-Jul-18</v>
      </c>
      <c r="B763" t="s">
        <v>7</v>
      </c>
      <c r="C763" t="s">
        <v>8</v>
      </c>
      <c r="D763" t="str">
        <f>"6640767"</f>
        <v>6640767</v>
      </c>
      <c r="E763" t="s">
        <v>779</v>
      </c>
      <c r="F763" t="s">
        <v>615</v>
      </c>
      <c r="G763">
        <v>4.0000000000000001E-3</v>
      </c>
      <c r="H763" t="s">
        <v>11</v>
      </c>
    </row>
    <row r="764" spans="1:8" x14ac:dyDescent="0.25">
      <c r="A764" t="str">
        <f t="shared" si="11"/>
        <v>31-Jul-18</v>
      </c>
      <c r="B764" t="s">
        <v>7</v>
      </c>
      <c r="C764" t="s">
        <v>8</v>
      </c>
      <c r="D764" t="str">
        <f>"6642428"</f>
        <v>6642428</v>
      </c>
      <c r="E764" t="s">
        <v>780</v>
      </c>
      <c r="F764" t="s">
        <v>615</v>
      </c>
      <c r="G764">
        <v>4.0000000000000001E-3</v>
      </c>
      <c r="H764" t="s">
        <v>11</v>
      </c>
    </row>
    <row r="765" spans="1:8" x14ac:dyDescent="0.25">
      <c r="A765" t="str">
        <f t="shared" si="11"/>
        <v>31-Jul-18</v>
      </c>
      <c r="B765" t="s">
        <v>7</v>
      </c>
      <c r="C765" t="s">
        <v>8</v>
      </c>
      <c r="D765" t="str">
        <f>"6641544"</f>
        <v>6641544</v>
      </c>
      <c r="E765" t="s">
        <v>781</v>
      </c>
      <c r="F765" t="s">
        <v>615</v>
      </c>
      <c r="G765">
        <v>1.0999999999999999E-2</v>
      </c>
      <c r="H765" t="s">
        <v>11</v>
      </c>
    </row>
    <row r="766" spans="1:8" x14ac:dyDescent="0.25">
      <c r="A766" t="str">
        <f t="shared" si="11"/>
        <v>31-Jul-18</v>
      </c>
      <c r="B766" t="s">
        <v>7</v>
      </c>
      <c r="C766" t="s">
        <v>8</v>
      </c>
      <c r="D766" t="str">
        <f>"6129277"</f>
        <v>6129277</v>
      </c>
      <c r="E766" t="s">
        <v>782</v>
      </c>
      <c r="F766" t="s">
        <v>615</v>
      </c>
      <c r="G766">
        <v>0.153</v>
      </c>
      <c r="H766" t="s">
        <v>11</v>
      </c>
    </row>
    <row r="767" spans="1:8" x14ac:dyDescent="0.25">
      <c r="A767" t="str">
        <f t="shared" si="11"/>
        <v>31-Jul-18</v>
      </c>
      <c r="B767" t="s">
        <v>7</v>
      </c>
      <c r="C767" t="s">
        <v>8</v>
      </c>
      <c r="D767" t="str">
        <f>"6125639"</f>
        <v>6125639</v>
      </c>
      <c r="E767" t="s">
        <v>783</v>
      </c>
      <c r="F767" t="s">
        <v>615</v>
      </c>
      <c r="G767">
        <v>1.6E-2</v>
      </c>
      <c r="H767" t="s">
        <v>11</v>
      </c>
    </row>
    <row r="768" spans="1:8" x14ac:dyDescent="0.25">
      <c r="A768" t="str">
        <f t="shared" si="11"/>
        <v>31-Jul-18</v>
      </c>
      <c r="B768" t="s">
        <v>7</v>
      </c>
      <c r="C768" t="s">
        <v>8</v>
      </c>
      <c r="D768" t="str">
        <f>"6687571"</f>
        <v>6687571</v>
      </c>
      <c r="E768" t="s">
        <v>784</v>
      </c>
      <c r="F768" t="s">
        <v>615</v>
      </c>
      <c r="G768">
        <v>0.01</v>
      </c>
      <c r="H768" t="s">
        <v>11</v>
      </c>
    </row>
    <row r="769" spans="1:8" x14ac:dyDescent="0.25">
      <c r="A769" t="str">
        <f t="shared" si="11"/>
        <v>31-Jul-18</v>
      </c>
      <c r="B769" t="s">
        <v>7</v>
      </c>
      <c r="C769" t="s">
        <v>8</v>
      </c>
      <c r="D769" t="str">
        <f>"6619864"</f>
        <v>6619864</v>
      </c>
      <c r="E769" t="s">
        <v>785</v>
      </c>
      <c r="F769" t="s">
        <v>615</v>
      </c>
      <c r="G769">
        <v>0.01</v>
      </c>
      <c r="H769" t="s">
        <v>11</v>
      </c>
    </row>
    <row r="770" spans="1:8" x14ac:dyDescent="0.25">
      <c r="A770" t="str">
        <f t="shared" ref="A770:A833" si="12">"31-Jul-18"</f>
        <v>31-Jul-18</v>
      </c>
      <c r="B770" t="s">
        <v>7</v>
      </c>
      <c r="C770" t="s">
        <v>8</v>
      </c>
      <c r="D770" t="str">
        <f>"B63QM77"</f>
        <v>B63QM77</v>
      </c>
      <c r="E770" t="s">
        <v>786</v>
      </c>
      <c r="F770" t="s">
        <v>615</v>
      </c>
      <c r="G770">
        <v>6.0000000000000001E-3</v>
      </c>
      <c r="H770" t="s">
        <v>11</v>
      </c>
    </row>
    <row r="771" spans="1:8" x14ac:dyDescent="0.25">
      <c r="A771" t="str">
        <f t="shared" si="12"/>
        <v>31-Jul-18</v>
      </c>
      <c r="B771" t="s">
        <v>7</v>
      </c>
      <c r="C771" t="s">
        <v>8</v>
      </c>
      <c r="D771" t="str">
        <f>"6640682"</f>
        <v>6640682</v>
      </c>
      <c r="E771" t="s">
        <v>787</v>
      </c>
      <c r="F771" t="s">
        <v>615</v>
      </c>
      <c r="G771">
        <v>7.5999999999999998E-2</v>
      </c>
      <c r="H771" t="s">
        <v>11</v>
      </c>
    </row>
    <row r="772" spans="1:8" x14ac:dyDescent="0.25">
      <c r="A772" t="str">
        <f t="shared" si="12"/>
        <v>31-Jul-18</v>
      </c>
      <c r="B772" t="s">
        <v>7</v>
      </c>
      <c r="C772" t="s">
        <v>8</v>
      </c>
      <c r="D772" t="str">
        <f>"6642321"</f>
        <v>6642321</v>
      </c>
      <c r="E772" t="s">
        <v>788</v>
      </c>
      <c r="F772" t="s">
        <v>615</v>
      </c>
      <c r="G772">
        <v>1.2999999999999999E-2</v>
      </c>
      <c r="H772" t="s">
        <v>11</v>
      </c>
    </row>
    <row r="773" spans="1:8" x14ac:dyDescent="0.25">
      <c r="A773" t="str">
        <f t="shared" si="12"/>
        <v>31-Jul-18</v>
      </c>
      <c r="B773" t="s">
        <v>7</v>
      </c>
      <c r="C773" t="s">
        <v>8</v>
      </c>
      <c r="D773" t="str">
        <f>"6639550"</f>
        <v>6639550</v>
      </c>
      <c r="E773" t="s">
        <v>789</v>
      </c>
      <c r="F773" t="s">
        <v>615</v>
      </c>
      <c r="G773">
        <v>9.7000000000000003E-2</v>
      </c>
      <c r="H773" t="s">
        <v>11</v>
      </c>
    </row>
    <row r="774" spans="1:8" x14ac:dyDescent="0.25">
      <c r="A774" t="str">
        <f t="shared" si="12"/>
        <v>31-Jul-18</v>
      </c>
      <c r="B774" t="s">
        <v>7</v>
      </c>
      <c r="C774" t="s">
        <v>8</v>
      </c>
      <c r="D774" t="str">
        <f>"6396800"</f>
        <v>6396800</v>
      </c>
      <c r="E774" t="s">
        <v>790</v>
      </c>
      <c r="F774" t="s">
        <v>615</v>
      </c>
      <c r="G774">
        <v>8.0000000000000002E-3</v>
      </c>
      <c r="H774" t="s">
        <v>11</v>
      </c>
    </row>
    <row r="775" spans="1:8" x14ac:dyDescent="0.25">
      <c r="A775" t="str">
        <f t="shared" si="12"/>
        <v>31-Jul-18</v>
      </c>
      <c r="B775" t="s">
        <v>7</v>
      </c>
      <c r="C775" t="s">
        <v>8</v>
      </c>
      <c r="D775" t="str">
        <f>"6642666"</f>
        <v>6642666</v>
      </c>
      <c r="E775" t="s">
        <v>791</v>
      </c>
      <c r="F775" t="s">
        <v>615</v>
      </c>
      <c r="G775">
        <v>4.0000000000000001E-3</v>
      </c>
      <c r="H775" t="s">
        <v>11</v>
      </c>
    </row>
    <row r="776" spans="1:8" x14ac:dyDescent="0.25">
      <c r="A776" t="str">
        <f t="shared" si="12"/>
        <v>31-Jul-18</v>
      </c>
      <c r="B776" t="s">
        <v>7</v>
      </c>
      <c r="C776" t="s">
        <v>8</v>
      </c>
      <c r="D776" t="str">
        <f>"6642127"</f>
        <v>6642127</v>
      </c>
      <c r="E776" t="s">
        <v>792</v>
      </c>
      <c r="F776" t="s">
        <v>615</v>
      </c>
      <c r="G776">
        <v>2.1999999999999999E-2</v>
      </c>
      <c r="H776" t="s">
        <v>11</v>
      </c>
    </row>
    <row r="777" spans="1:8" x14ac:dyDescent="0.25">
      <c r="A777" t="str">
        <f t="shared" si="12"/>
        <v>31-Jul-18</v>
      </c>
      <c r="B777" t="s">
        <v>7</v>
      </c>
      <c r="C777" t="s">
        <v>8</v>
      </c>
      <c r="D777" t="str">
        <f>"6640507"</f>
        <v>6640507</v>
      </c>
      <c r="E777" t="s">
        <v>793</v>
      </c>
      <c r="F777" t="s">
        <v>615</v>
      </c>
      <c r="G777">
        <v>1.4E-2</v>
      </c>
      <c r="H777" t="s">
        <v>11</v>
      </c>
    </row>
    <row r="778" spans="1:8" x14ac:dyDescent="0.25">
      <c r="A778" t="str">
        <f t="shared" si="12"/>
        <v>31-Jul-18</v>
      </c>
      <c r="B778" t="s">
        <v>7</v>
      </c>
      <c r="C778" t="s">
        <v>8</v>
      </c>
      <c r="D778" t="str">
        <f>"B98BC67"</f>
        <v>B98BC67</v>
      </c>
      <c r="E778" t="s">
        <v>794</v>
      </c>
      <c r="F778" t="s">
        <v>615</v>
      </c>
      <c r="G778">
        <v>3.0000000000000001E-3</v>
      </c>
      <c r="H778" t="s">
        <v>11</v>
      </c>
    </row>
    <row r="779" spans="1:8" x14ac:dyDescent="0.25">
      <c r="A779" t="str">
        <f t="shared" si="12"/>
        <v>31-Jul-18</v>
      </c>
      <c r="B779" t="s">
        <v>7</v>
      </c>
      <c r="C779" t="s">
        <v>8</v>
      </c>
      <c r="D779" t="str">
        <f>"6642569"</f>
        <v>6642569</v>
      </c>
      <c r="E779" t="s">
        <v>795</v>
      </c>
      <c r="F779" t="s">
        <v>615</v>
      </c>
      <c r="G779">
        <v>3.2000000000000001E-2</v>
      </c>
      <c r="H779" t="s">
        <v>11</v>
      </c>
    </row>
    <row r="780" spans="1:8" x14ac:dyDescent="0.25">
      <c r="A780" t="str">
        <f t="shared" si="12"/>
        <v>31-Jul-18</v>
      </c>
      <c r="B780" t="s">
        <v>7</v>
      </c>
      <c r="C780" t="s">
        <v>8</v>
      </c>
      <c r="D780" t="str">
        <f>"6641373"</f>
        <v>6641373</v>
      </c>
      <c r="E780" t="s">
        <v>796</v>
      </c>
      <c r="F780" t="s">
        <v>615</v>
      </c>
      <c r="G780">
        <v>7.0000000000000007E-2</v>
      </c>
      <c r="H780" t="s">
        <v>11</v>
      </c>
    </row>
    <row r="781" spans="1:8" x14ac:dyDescent="0.25">
      <c r="A781" t="str">
        <f t="shared" si="12"/>
        <v>31-Jul-18</v>
      </c>
      <c r="B781" t="s">
        <v>7</v>
      </c>
      <c r="C781" t="s">
        <v>8</v>
      </c>
      <c r="D781" t="str">
        <f>"6643960"</f>
        <v>6643960</v>
      </c>
      <c r="E781" t="s">
        <v>797</v>
      </c>
      <c r="F781" t="s">
        <v>615</v>
      </c>
      <c r="G781">
        <v>4.0000000000000001E-3</v>
      </c>
      <c r="H781" t="s">
        <v>11</v>
      </c>
    </row>
    <row r="782" spans="1:8" x14ac:dyDescent="0.25">
      <c r="A782" t="str">
        <f t="shared" si="12"/>
        <v>31-Jul-18</v>
      </c>
      <c r="B782" t="s">
        <v>7</v>
      </c>
      <c r="C782" t="s">
        <v>8</v>
      </c>
      <c r="D782" t="str">
        <f>"6641588"</f>
        <v>6641588</v>
      </c>
      <c r="E782" t="s">
        <v>798</v>
      </c>
      <c r="F782" t="s">
        <v>615</v>
      </c>
      <c r="G782">
        <v>7.0000000000000001E-3</v>
      </c>
      <c r="H782" t="s">
        <v>11</v>
      </c>
    </row>
    <row r="783" spans="1:8" x14ac:dyDescent="0.25">
      <c r="A783" t="str">
        <f t="shared" si="12"/>
        <v>31-Jul-18</v>
      </c>
      <c r="B783" t="s">
        <v>7</v>
      </c>
      <c r="C783" t="s">
        <v>8</v>
      </c>
      <c r="D783" t="str">
        <f>"6642860"</f>
        <v>6642860</v>
      </c>
      <c r="E783" t="s">
        <v>799</v>
      </c>
      <c r="F783" t="s">
        <v>615</v>
      </c>
      <c r="G783">
        <v>2.5999999999999999E-2</v>
      </c>
      <c r="H783" t="s">
        <v>11</v>
      </c>
    </row>
    <row r="784" spans="1:8" x14ac:dyDescent="0.25">
      <c r="A784" t="str">
        <f t="shared" si="12"/>
        <v>31-Jul-18</v>
      </c>
      <c r="B784" t="s">
        <v>7</v>
      </c>
      <c r="C784" t="s">
        <v>8</v>
      </c>
      <c r="D784" t="str">
        <f>"6640961"</f>
        <v>6640961</v>
      </c>
      <c r="E784" t="s">
        <v>800</v>
      </c>
      <c r="F784" t="s">
        <v>615</v>
      </c>
      <c r="G784">
        <v>6.0000000000000001E-3</v>
      </c>
      <c r="H784" t="s">
        <v>11</v>
      </c>
    </row>
    <row r="785" spans="1:8" x14ac:dyDescent="0.25">
      <c r="A785" t="str">
        <f t="shared" si="12"/>
        <v>31-Jul-18</v>
      </c>
      <c r="B785" t="s">
        <v>7</v>
      </c>
      <c r="C785" t="s">
        <v>8</v>
      </c>
      <c r="D785" t="str">
        <f>"6641760"</f>
        <v>6641760</v>
      </c>
      <c r="E785" t="s">
        <v>801</v>
      </c>
      <c r="F785" t="s">
        <v>615</v>
      </c>
      <c r="G785">
        <v>7.0000000000000001E-3</v>
      </c>
      <c r="H785" t="s">
        <v>11</v>
      </c>
    </row>
    <row r="786" spans="1:8" x14ac:dyDescent="0.25">
      <c r="A786" t="str">
        <f t="shared" si="12"/>
        <v>31-Jul-18</v>
      </c>
      <c r="B786" t="s">
        <v>7</v>
      </c>
      <c r="C786" t="s">
        <v>8</v>
      </c>
      <c r="D786" t="str">
        <f>"6644800"</f>
        <v>6644800</v>
      </c>
      <c r="E786" t="s">
        <v>802</v>
      </c>
      <c r="F786" t="s">
        <v>615</v>
      </c>
      <c r="G786">
        <v>2.5999999999999999E-2</v>
      </c>
      <c r="H786" t="s">
        <v>11</v>
      </c>
    </row>
    <row r="787" spans="1:8" x14ac:dyDescent="0.25">
      <c r="A787" t="str">
        <f t="shared" si="12"/>
        <v>31-Jul-18</v>
      </c>
      <c r="B787" t="s">
        <v>7</v>
      </c>
      <c r="C787" t="s">
        <v>8</v>
      </c>
      <c r="D787" t="str">
        <f>"6641801"</f>
        <v>6641801</v>
      </c>
      <c r="E787" t="s">
        <v>803</v>
      </c>
      <c r="F787" t="s">
        <v>615</v>
      </c>
      <c r="G787">
        <v>4.8000000000000001E-2</v>
      </c>
      <c r="H787" t="s">
        <v>11</v>
      </c>
    </row>
    <row r="788" spans="1:8" x14ac:dyDescent="0.25">
      <c r="A788" t="str">
        <f t="shared" si="12"/>
        <v>31-Jul-18</v>
      </c>
      <c r="B788" t="s">
        <v>7</v>
      </c>
      <c r="C788" t="s">
        <v>8</v>
      </c>
      <c r="D788" t="str">
        <f>"6643108"</f>
        <v>6643108</v>
      </c>
      <c r="E788" t="s">
        <v>804</v>
      </c>
      <c r="F788" t="s">
        <v>615</v>
      </c>
      <c r="G788">
        <v>3.3000000000000002E-2</v>
      </c>
      <c r="H788" t="s">
        <v>11</v>
      </c>
    </row>
    <row r="789" spans="1:8" x14ac:dyDescent="0.25">
      <c r="A789" t="str">
        <f t="shared" si="12"/>
        <v>31-Jul-18</v>
      </c>
      <c r="B789" t="s">
        <v>7</v>
      </c>
      <c r="C789" t="s">
        <v>8</v>
      </c>
      <c r="D789" t="str">
        <f>"B1CWJM5"</f>
        <v>B1CWJM5</v>
      </c>
      <c r="E789" t="s">
        <v>805</v>
      </c>
      <c r="F789" t="s">
        <v>615</v>
      </c>
      <c r="G789">
        <v>6.0000000000000001E-3</v>
      </c>
      <c r="H789" t="s">
        <v>11</v>
      </c>
    </row>
    <row r="790" spans="1:8" x14ac:dyDescent="0.25">
      <c r="A790" t="str">
        <f t="shared" si="12"/>
        <v>31-Jul-18</v>
      </c>
      <c r="B790" t="s">
        <v>7</v>
      </c>
      <c r="C790" t="s">
        <v>8</v>
      </c>
      <c r="D790" t="str">
        <f>"BYSJJF4"</f>
        <v>BYSJJF4</v>
      </c>
      <c r="E790" t="s">
        <v>806</v>
      </c>
      <c r="F790" t="s">
        <v>615</v>
      </c>
      <c r="G790">
        <v>1.2E-2</v>
      </c>
      <c r="H790" t="s">
        <v>11</v>
      </c>
    </row>
    <row r="791" spans="1:8" x14ac:dyDescent="0.25">
      <c r="A791" t="str">
        <f t="shared" si="12"/>
        <v>31-Jul-18</v>
      </c>
      <c r="B791" t="s">
        <v>7</v>
      </c>
      <c r="C791" t="s">
        <v>8</v>
      </c>
      <c r="D791" t="str">
        <f>"6390921"</f>
        <v>6390921</v>
      </c>
      <c r="E791" t="s">
        <v>807</v>
      </c>
      <c r="F791" t="s">
        <v>615</v>
      </c>
      <c r="G791">
        <v>1.4E-2</v>
      </c>
      <c r="H791" t="s">
        <v>11</v>
      </c>
    </row>
    <row r="792" spans="1:8" x14ac:dyDescent="0.25">
      <c r="A792" t="str">
        <f t="shared" si="12"/>
        <v>31-Jul-18</v>
      </c>
      <c r="B792" t="s">
        <v>7</v>
      </c>
      <c r="C792" t="s">
        <v>8</v>
      </c>
      <c r="D792" t="str">
        <f>"6661144"</f>
        <v>6661144</v>
      </c>
      <c r="E792" t="s">
        <v>808</v>
      </c>
      <c r="F792" t="s">
        <v>615</v>
      </c>
      <c r="G792">
        <v>4.7E-2</v>
      </c>
      <c r="H792" t="s">
        <v>11</v>
      </c>
    </row>
    <row r="793" spans="1:8" x14ac:dyDescent="0.25">
      <c r="A793" t="str">
        <f t="shared" si="12"/>
        <v>31-Jul-18</v>
      </c>
      <c r="B793" t="s">
        <v>7</v>
      </c>
      <c r="C793" t="s">
        <v>8</v>
      </c>
      <c r="D793" t="str">
        <f>"6656407"</f>
        <v>6656407</v>
      </c>
      <c r="E793" t="s">
        <v>809</v>
      </c>
      <c r="F793" t="s">
        <v>615</v>
      </c>
      <c r="G793">
        <v>3.2000000000000001E-2</v>
      </c>
      <c r="H793" t="s">
        <v>11</v>
      </c>
    </row>
    <row r="794" spans="1:8" x14ac:dyDescent="0.25">
      <c r="A794" t="str">
        <f t="shared" si="12"/>
        <v>31-Jul-18</v>
      </c>
      <c r="B794" t="s">
        <v>7</v>
      </c>
      <c r="C794" t="s">
        <v>8</v>
      </c>
      <c r="D794" t="str">
        <f>"6136749"</f>
        <v>6136749</v>
      </c>
      <c r="E794" t="s">
        <v>810</v>
      </c>
      <c r="F794" t="s">
        <v>615</v>
      </c>
      <c r="G794">
        <v>1.2E-2</v>
      </c>
      <c r="H794" t="s">
        <v>11</v>
      </c>
    </row>
    <row r="795" spans="1:8" x14ac:dyDescent="0.25">
      <c r="A795" t="str">
        <f t="shared" si="12"/>
        <v>31-Jul-18</v>
      </c>
      <c r="B795" t="s">
        <v>7</v>
      </c>
      <c r="C795" t="s">
        <v>8</v>
      </c>
      <c r="D795" t="str">
        <f>"6656106"</f>
        <v>6656106</v>
      </c>
      <c r="E795" t="s">
        <v>811</v>
      </c>
      <c r="F795" t="s">
        <v>615</v>
      </c>
      <c r="G795">
        <v>1.6E-2</v>
      </c>
      <c r="H795" t="s">
        <v>11</v>
      </c>
    </row>
    <row r="796" spans="1:8" x14ac:dyDescent="0.25">
      <c r="A796" t="str">
        <f t="shared" si="12"/>
        <v>31-Jul-18</v>
      </c>
      <c r="B796" t="s">
        <v>7</v>
      </c>
      <c r="C796" t="s">
        <v>8</v>
      </c>
      <c r="D796" t="str">
        <f>"6657701"</f>
        <v>6657701</v>
      </c>
      <c r="E796" t="s">
        <v>812</v>
      </c>
      <c r="F796" t="s">
        <v>615</v>
      </c>
      <c r="G796">
        <v>8.0000000000000002E-3</v>
      </c>
      <c r="H796" t="s">
        <v>11</v>
      </c>
    </row>
    <row r="797" spans="1:8" x14ac:dyDescent="0.25">
      <c r="A797" t="str">
        <f t="shared" si="12"/>
        <v>31-Jul-18</v>
      </c>
      <c r="B797" t="s">
        <v>7</v>
      </c>
      <c r="C797" t="s">
        <v>8</v>
      </c>
      <c r="D797" t="str">
        <f>"6658801"</f>
        <v>6658801</v>
      </c>
      <c r="E797" t="s">
        <v>813</v>
      </c>
      <c r="F797" t="s">
        <v>615</v>
      </c>
      <c r="G797">
        <v>1.2999999999999999E-2</v>
      </c>
      <c r="H797" t="s">
        <v>11</v>
      </c>
    </row>
    <row r="798" spans="1:8" x14ac:dyDescent="0.25">
      <c r="A798" t="str">
        <f t="shared" si="12"/>
        <v>31-Jul-18</v>
      </c>
      <c r="B798" t="s">
        <v>7</v>
      </c>
      <c r="C798" t="s">
        <v>8</v>
      </c>
      <c r="D798" t="str">
        <f>"6659428"</f>
        <v>6659428</v>
      </c>
      <c r="E798" t="s">
        <v>814</v>
      </c>
      <c r="F798" t="s">
        <v>615</v>
      </c>
      <c r="G798">
        <v>3.3000000000000002E-2</v>
      </c>
      <c r="H798" t="s">
        <v>11</v>
      </c>
    </row>
    <row r="799" spans="1:8" x14ac:dyDescent="0.25">
      <c r="A799" t="str">
        <f t="shared" si="12"/>
        <v>31-Jul-18</v>
      </c>
      <c r="B799" t="s">
        <v>7</v>
      </c>
      <c r="C799" t="s">
        <v>8</v>
      </c>
      <c r="D799" t="str">
        <f>"6660107"</f>
        <v>6660107</v>
      </c>
      <c r="E799" t="s">
        <v>815</v>
      </c>
      <c r="F799" t="s">
        <v>615</v>
      </c>
      <c r="G799">
        <v>2.4E-2</v>
      </c>
      <c r="H799" t="s">
        <v>11</v>
      </c>
    </row>
    <row r="800" spans="1:8" x14ac:dyDescent="0.25">
      <c r="A800" t="str">
        <f t="shared" si="12"/>
        <v>31-Jul-18</v>
      </c>
      <c r="B800" t="s">
        <v>7</v>
      </c>
      <c r="C800" t="s">
        <v>8</v>
      </c>
      <c r="D800" t="str">
        <f>"6141680"</f>
        <v>6141680</v>
      </c>
      <c r="E800" t="s">
        <v>816</v>
      </c>
      <c r="F800" t="s">
        <v>615</v>
      </c>
      <c r="G800">
        <v>5.0000000000000001E-3</v>
      </c>
      <c r="H800" t="s">
        <v>11</v>
      </c>
    </row>
    <row r="801" spans="1:8" x14ac:dyDescent="0.25">
      <c r="A801" t="str">
        <f t="shared" si="12"/>
        <v>31-Jul-18</v>
      </c>
      <c r="B801" t="s">
        <v>7</v>
      </c>
      <c r="C801" t="s">
        <v>8</v>
      </c>
      <c r="D801" t="str">
        <f>"6648891"</f>
        <v>6648891</v>
      </c>
      <c r="E801" t="s">
        <v>817</v>
      </c>
      <c r="F801" t="s">
        <v>615</v>
      </c>
      <c r="G801">
        <v>5.0999999999999997E-2</v>
      </c>
      <c r="H801" t="s">
        <v>11</v>
      </c>
    </row>
    <row r="802" spans="1:8" x14ac:dyDescent="0.25">
      <c r="A802" t="str">
        <f t="shared" si="12"/>
        <v>31-Jul-18</v>
      </c>
      <c r="B802" t="s">
        <v>7</v>
      </c>
      <c r="C802" t="s">
        <v>8</v>
      </c>
      <c r="D802" t="str">
        <f>"6661768"</f>
        <v>6661768</v>
      </c>
      <c r="E802" t="s">
        <v>818</v>
      </c>
      <c r="F802" t="s">
        <v>615</v>
      </c>
      <c r="G802">
        <v>0.03</v>
      </c>
      <c r="H802" t="s">
        <v>11</v>
      </c>
    </row>
    <row r="803" spans="1:8" x14ac:dyDescent="0.25">
      <c r="A803" t="str">
        <f t="shared" si="12"/>
        <v>31-Jul-18</v>
      </c>
      <c r="B803" t="s">
        <v>7</v>
      </c>
      <c r="C803" t="s">
        <v>8</v>
      </c>
      <c r="D803" t="str">
        <f>"6267058"</f>
        <v>6267058</v>
      </c>
      <c r="E803" t="s">
        <v>819</v>
      </c>
      <c r="F803" t="s">
        <v>615</v>
      </c>
      <c r="G803">
        <v>1.0999999999999999E-2</v>
      </c>
      <c r="H803" t="s">
        <v>11</v>
      </c>
    </row>
    <row r="804" spans="1:8" x14ac:dyDescent="0.25">
      <c r="A804" t="str">
        <f t="shared" si="12"/>
        <v>31-Jul-18</v>
      </c>
      <c r="B804" t="s">
        <v>7</v>
      </c>
      <c r="C804" t="s">
        <v>8</v>
      </c>
      <c r="D804" t="str">
        <f>"B5LTM93"</f>
        <v>B5LTM93</v>
      </c>
      <c r="E804" t="s">
        <v>820</v>
      </c>
      <c r="F804" t="s">
        <v>615</v>
      </c>
      <c r="G804">
        <v>4.5999999999999999E-2</v>
      </c>
      <c r="H804" t="s">
        <v>11</v>
      </c>
    </row>
    <row r="805" spans="1:8" x14ac:dyDescent="0.25">
      <c r="A805" t="str">
        <f t="shared" si="12"/>
        <v>31-Jul-18</v>
      </c>
      <c r="B805" t="s">
        <v>7</v>
      </c>
      <c r="C805" t="s">
        <v>8</v>
      </c>
      <c r="D805" t="str">
        <f>"6572707"</f>
        <v>6572707</v>
      </c>
      <c r="E805" t="s">
        <v>821</v>
      </c>
      <c r="F805" t="s">
        <v>615</v>
      </c>
      <c r="G805">
        <v>0.11899999999999999</v>
      </c>
      <c r="H805" t="s">
        <v>11</v>
      </c>
    </row>
    <row r="806" spans="1:8" x14ac:dyDescent="0.25">
      <c r="A806" t="str">
        <f t="shared" si="12"/>
        <v>31-Jul-18</v>
      </c>
      <c r="B806" t="s">
        <v>7</v>
      </c>
      <c r="C806" t="s">
        <v>8</v>
      </c>
      <c r="D806" t="str">
        <f>"6667733"</f>
        <v>6667733</v>
      </c>
      <c r="E806" t="s">
        <v>822</v>
      </c>
      <c r="F806" t="s">
        <v>615</v>
      </c>
      <c r="G806">
        <v>7.0000000000000001E-3</v>
      </c>
      <c r="H806" t="s">
        <v>11</v>
      </c>
    </row>
    <row r="807" spans="1:8" x14ac:dyDescent="0.25">
      <c r="A807" t="str">
        <f t="shared" si="12"/>
        <v>31-Jul-18</v>
      </c>
      <c r="B807" t="s">
        <v>7</v>
      </c>
      <c r="C807" t="s">
        <v>8</v>
      </c>
      <c r="D807" t="str">
        <f>"B3CY709"</f>
        <v>B3CY709</v>
      </c>
      <c r="E807" t="s">
        <v>823</v>
      </c>
      <c r="F807" t="s">
        <v>615</v>
      </c>
      <c r="G807">
        <v>7.0000000000000001E-3</v>
      </c>
      <c r="H807" t="s">
        <v>11</v>
      </c>
    </row>
    <row r="808" spans="1:8" x14ac:dyDescent="0.25">
      <c r="A808" t="str">
        <f t="shared" si="12"/>
        <v>31-Jul-18</v>
      </c>
      <c r="B808" t="s">
        <v>7</v>
      </c>
      <c r="C808" t="s">
        <v>8</v>
      </c>
      <c r="D808" t="str">
        <f>"B5N4QN8"</f>
        <v>B5N4QN8</v>
      </c>
      <c r="E808" t="s">
        <v>824</v>
      </c>
      <c r="F808" t="s">
        <v>615</v>
      </c>
      <c r="G808">
        <v>4.0000000000000001E-3</v>
      </c>
      <c r="H808" t="s">
        <v>11</v>
      </c>
    </row>
    <row r="809" spans="1:8" x14ac:dyDescent="0.25">
      <c r="A809" t="str">
        <f t="shared" si="12"/>
        <v>31-Jul-18</v>
      </c>
      <c r="B809" t="s">
        <v>7</v>
      </c>
      <c r="C809" t="s">
        <v>8</v>
      </c>
      <c r="D809" t="str">
        <f>"6229597"</f>
        <v>6229597</v>
      </c>
      <c r="E809" t="s">
        <v>825</v>
      </c>
      <c r="F809" t="s">
        <v>615</v>
      </c>
      <c r="G809">
        <v>1.2999999999999999E-2</v>
      </c>
      <c r="H809" t="s">
        <v>11</v>
      </c>
    </row>
    <row r="810" spans="1:8" x14ac:dyDescent="0.25">
      <c r="A810" t="str">
        <f t="shared" si="12"/>
        <v>31-Jul-18</v>
      </c>
      <c r="B810" t="s">
        <v>7</v>
      </c>
      <c r="C810" t="s">
        <v>8</v>
      </c>
      <c r="D810" t="str">
        <f>"BQRRZ00"</f>
        <v>BQRRZ00</v>
      </c>
      <c r="E810" t="s">
        <v>826</v>
      </c>
      <c r="F810" t="s">
        <v>615</v>
      </c>
      <c r="G810">
        <v>6.7000000000000004E-2</v>
      </c>
      <c r="H810" t="s">
        <v>11</v>
      </c>
    </row>
    <row r="811" spans="1:8" x14ac:dyDescent="0.25">
      <c r="A811" t="str">
        <f t="shared" si="12"/>
        <v>31-Jul-18</v>
      </c>
      <c r="B811" t="s">
        <v>7</v>
      </c>
      <c r="C811" t="s">
        <v>8</v>
      </c>
      <c r="D811" t="str">
        <f>"6635677"</f>
        <v>6635677</v>
      </c>
      <c r="E811" t="s">
        <v>827</v>
      </c>
      <c r="F811" t="s">
        <v>615</v>
      </c>
      <c r="G811">
        <v>5.0000000000000001E-3</v>
      </c>
      <c r="H811" t="s">
        <v>11</v>
      </c>
    </row>
    <row r="812" spans="1:8" x14ac:dyDescent="0.25">
      <c r="A812" t="str">
        <f t="shared" si="12"/>
        <v>31-Jul-18</v>
      </c>
      <c r="B812" t="s">
        <v>7</v>
      </c>
      <c r="C812" t="s">
        <v>8</v>
      </c>
      <c r="D812" t="str">
        <f>"6421553"</f>
        <v>6421553</v>
      </c>
      <c r="E812" t="s">
        <v>828</v>
      </c>
      <c r="F812" t="s">
        <v>615</v>
      </c>
      <c r="G812">
        <v>2.3E-2</v>
      </c>
      <c r="H812" t="s">
        <v>11</v>
      </c>
    </row>
    <row r="813" spans="1:8" x14ac:dyDescent="0.25">
      <c r="A813" t="str">
        <f t="shared" si="12"/>
        <v>31-Jul-18</v>
      </c>
      <c r="B813" t="s">
        <v>7</v>
      </c>
      <c r="C813" t="s">
        <v>8</v>
      </c>
      <c r="D813" t="str">
        <f>"6738220"</f>
        <v>6738220</v>
      </c>
      <c r="E813" t="s">
        <v>829</v>
      </c>
      <c r="F813" t="s">
        <v>615</v>
      </c>
      <c r="G813">
        <v>1.4E-2</v>
      </c>
      <c r="H813" t="s">
        <v>11</v>
      </c>
    </row>
    <row r="814" spans="1:8" x14ac:dyDescent="0.25">
      <c r="A814" t="str">
        <f t="shared" si="12"/>
        <v>31-Jul-18</v>
      </c>
      <c r="B814" t="s">
        <v>7</v>
      </c>
      <c r="C814" t="s">
        <v>8</v>
      </c>
      <c r="D814" t="str">
        <f>"6740582"</f>
        <v>6740582</v>
      </c>
      <c r="E814" t="s">
        <v>830</v>
      </c>
      <c r="F814" t="s">
        <v>615</v>
      </c>
      <c r="G814">
        <v>3.0000000000000001E-3</v>
      </c>
      <c r="H814" t="s">
        <v>11</v>
      </c>
    </row>
    <row r="815" spans="1:8" x14ac:dyDescent="0.25">
      <c r="A815" t="str">
        <f t="shared" si="12"/>
        <v>31-Jul-18</v>
      </c>
      <c r="B815" t="s">
        <v>7</v>
      </c>
      <c r="C815" t="s">
        <v>8</v>
      </c>
      <c r="D815" t="str">
        <f>"6747204"</f>
        <v>6747204</v>
      </c>
      <c r="E815" t="s">
        <v>831</v>
      </c>
      <c r="F815" t="s">
        <v>615</v>
      </c>
      <c r="G815">
        <v>1.6E-2</v>
      </c>
      <c r="H815" t="s">
        <v>11</v>
      </c>
    </row>
    <row r="816" spans="1:8" x14ac:dyDescent="0.25">
      <c r="A816" t="str">
        <f t="shared" si="12"/>
        <v>31-Jul-18</v>
      </c>
      <c r="B816" t="s">
        <v>7</v>
      </c>
      <c r="C816" t="s">
        <v>8</v>
      </c>
      <c r="D816" t="str">
        <f>"6758455"</f>
        <v>6758455</v>
      </c>
      <c r="E816" t="s">
        <v>832</v>
      </c>
      <c r="F816" t="s">
        <v>615</v>
      </c>
      <c r="G816">
        <v>8.9999999999999993E-3</v>
      </c>
      <c r="H816" t="s">
        <v>11</v>
      </c>
    </row>
    <row r="817" spans="1:8" x14ac:dyDescent="0.25">
      <c r="A817" t="str">
        <f t="shared" si="12"/>
        <v>31-Jul-18</v>
      </c>
      <c r="B817" t="s">
        <v>7</v>
      </c>
      <c r="C817" t="s">
        <v>8</v>
      </c>
      <c r="D817" t="str">
        <f>"6309466"</f>
        <v>6309466</v>
      </c>
      <c r="E817" t="s">
        <v>833</v>
      </c>
      <c r="F817" t="s">
        <v>615</v>
      </c>
      <c r="G817">
        <v>2E-3</v>
      </c>
      <c r="H817" t="s">
        <v>11</v>
      </c>
    </row>
    <row r="818" spans="1:8" x14ac:dyDescent="0.25">
      <c r="A818" t="str">
        <f t="shared" si="12"/>
        <v>31-Jul-18</v>
      </c>
      <c r="B818" t="s">
        <v>7</v>
      </c>
      <c r="C818" t="s">
        <v>8</v>
      </c>
      <c r="D818" t="str">
        <f>"6763965"</f>
        <v>6763965</v>
      </c>
      <c r="E818" t="s">
        <v>834</v>
      </c>
      <c r="F818" t="s">
        <v>615</v>
      </c>
      <c r="G818">
        <v>2.3E-2</v>
      </c>
      <c r="H818" t="s">
        <v>11</v>
      </c>
    </row>
    <row r="819" spans="1:8" x14ac:dyDescent="0.25">
      <c r="A819" t="str">
        <f t="shared" si="12"/>
        <v>31-Jul-18</v>
      </c>
      <c r="B819" t="s">
        <v>7</v>
      </c>
      <c r="C819" t="s">
        <v>8</v>
      </c>
      <c r="D819" t="str">
        <f>"B0M0C89"</f>
        <v>B0M0C89</v>
      </c>
      <c r="E819" t="s">
        <v>835</v>
      </c>
      <c r="F819" t="s">
        <v>615</v>
      </c>
      <c r="G819">
        <v>6.0000000000000001E-3</v>
      </c>
      <c r="H819" t="s">
        <v>11</v>
      </c>
    </row>
    <row r="820" spans="1:8" x14ac:dyDescent="0.25">
      <c r="A820" t="str">
        <f t="shared" si="12"/>
        <v>31-Jul-18</v>
      </c>
      <c r="B820" t="s">
        <v>7</v>
      </c>
      <c r="C820" t="s">
        <v>8</v>
      </c>
      <c r="D820" t="str">
        <f>"6775432"</f>
        <v>6775432</v>
      </c>
      <c r="E820" t="s">
        <v>836</v>
      </c>
      <c r="F820" t="s">
        <v>615</v>
      </c>
      <c r="G820">
        <v>2E-3</v>
      </c>
      <c r="H820" t="s">
        <v>11</v>
      </c>
    </row>
    <row r="821" spans="1:8" x14ac:dyDescent="0.25">
      <c r="A821" t="str">
        <f t="shared" si="12"/>
        <v>31-Jul-18</v>
      </c>
      <c r="B821" t="s">
        <v>7</v>
      </c>
      <c r="C821" t="s">
        <v>8</v>
      </c>
      <c r="D821" t="str">
        <f>"6776606"</f>
        <v>6776606</v>
      </c>
      <c r="E821" t="s">
        <v>837</v>
      </c>
      <c r="F821" t="s">
        <v>615</v>
      </c>
      <c r="G821">
        <v>2.1000000000000001E-2</v>
      </c>
      <c r="H821" t="s">
        <v>11</v>
      </c>
    </row>
    <row r="822" spans="1:8" x14ac:dyDescent="0.25">
      <c r="A822" t="str">
        <f t="shared" si="12"/>
        <v>31-Jul-18</v>
      </c>
      <c r="B822" t="s">
        <v>7</v>
      </c>
      <c r="C822" t="s">
        <v>8</v>
      </c>
      <c r="D822" t="str">
        <f>"6791591"</f>
        <v>6791591</v>
      </c>
      <c r="E822" t="s">
        <v>838</v>
      </c>
      <c r="F822" t="s">
        <v>615</v>
      </c>
      <c r="G822">
        <v>0.04</v>
      </c>
      <c r="H822" t="s">
        <v>11</v>
      </c>
    </row>
    <row r="823" spans="1:8" x14ac:dyDescent="0.25">
      <c r="A823" t="str">
        <f t="shared" si="12"/>
        <v>31-Jul-18</v>
      </c>
      <c r="B823" t="s">
        <v>7</v>
      </c>
      <c r="C823" t="s">
        <v>8</v>
      </c>
      <c r="D823" t="str">
        <f>"B02RK08"</f>
        <v>B02RK08</v>
      </c>
      <c r="E823" t="s">
        <v>839</v>
      </c>
      <c r="F823" t="s">
        <v>615</v>
      </c>
      <c r="G823">
        <v>3.0000000000000001E-3</v>
      </c>
      <c r="H823" t="s">
        <v>11</v>
      </c>
    </row>
    <row r="824" spans="1:8" x14ac:dyDescent="0.25">
      <c r="A824" t="str">
        <f t="shared" si="12"/>
        <v>31-Jul-18</v>
      </c>
      <c r="B824" t="s">
        <v>7</v>
      </c>
      <c r="C824" t="s">
        <v>8</v>
      </c>
      <c r="D824" t="str">
        <f>"BKY6H35"</f>
        <v>BKY6H35</v>
      </c>
      <c r="E824" t="s">
        <v>840</v>
      </c>
      <c r="F824" t="s">
        <v>615</v>
      </c>
      <c r="G824">
        <v>1.4E-2</v>
      </c>
      <c r="H824" t="s">
        <v>11</v>
      </c>
    </row>
    <row r="825" spans="1:8" x14ac:dyDescent="0.25">
      <c r="A825" t="str">
        <f t="shared" si="12"/>
        <v>31-Jul-18</v>
      </c>
      <c r="B825" t="s">
        <v>7</v>
      </c>
      <c r="C825" t="s">
        <v>8</v>
      </c>
      <c r="D825" t="str">
        <f>"6616508"</f>
        <v>6616508</v>
      </c>
      <c r="E825" t="s">
        <v>841</v>
      </c>
      <c r="F825" t="s">
        <v>615</v>
      </c>
      <c r="G825">
        <v>0.01</v>
      </c>
      <c r="H825" t="s">
        <v>11</v>
      </c>
    </row>
    <row r="826" spans="1:8" x14ac:dyDescent="0.25">
      <c r="A826" t="str">
        <f t="shared" si="12"/>
        <v>31-Jul-18</v>
      </c>
      <c r="B826" t="s">
        <v>7</v>
      </c>
      <c r="C826" t="s">
        <v>8</v>
      </c>
      <c r="D826" t="str">
        <f>"6793821"</f>
        <v>6793821</v>
      </c>
      <c r="E826" t="s">
        <v>842</v>
      </c>
      <c r="F826" t="s">
        <v>615</v>
      </c>
      <c r="G826">
        <v>2.8000000000000001E-2</v>
      </c>
      <c r="H826" t="s">
        <v>11</v>
      </c>
    </row>
    <row r="827" spans="1:8" x14ac:dyDescent="0.25">
      <c r="A827" t="str">
        <f t="shared" si="12"/>
        <v>31-Jul-18</v>
      </c>
      <c r="B827" t="s">
        <v>7</v>
      </c>
      <c r="C827" t="s">
        <v>8</v>
      </c>
      <c r="D827" t="str">
        <f>"6793906"</f>
        <v>6793906</v>
      </c>
      <c r="E827" t="s">
        <v>843</v>
      </c>
      <c r="F827" t="s">
        <v>615</v>
      </c>
      <c r="G827">
        <v>3.6999999999999998E-2</v>
      </c>
      <c r="H827" t="s">
        <v>11</v>
      </c>
    </row>
    <row r="828" spans="1:8" x14ac:dyDescent="0.25">
      <c r="A828" t="str">
        <f t="shared" si="12"/>
        <v>31-Jul-18</v>
      </c>
      <c r="B828" t="s">
        <v>7</v>
      </c>
      <c r="C828" t="s">
        <v>8</v>
      </c>
      <c r="D828" t="str">
        <f>"B0FS5D6"</f>
        <v>B0FS5D6</v>
      </c>
      <c r="E828" t="s">
        <v>844</v>
      </c>
      <c r="F828" t="s">
        <v>615</v>
      </c>
      <c r="G828">
        <v>6.6000000000000003E-2</v>
      </c>
      <c r="H828" t="s">
        <v>11</v>
      </c>
    </row>
    <row r="829" spans="1:8" x14ac:dyDescent="0.25">
      <c r="A829" t="str">
        <f t="shared" si="12"/>
        <v>31-Jul-18</v>
      </c>
      <c r="B829" t="s">
        <v>7</v>
      </c>
      <c r="C829" t="s">
        <v>8</v>
      </c>
      <c r="D829" t="str">
        <f>"B2NT8S1"</f>
        <v>B2NT8S1</v>
      </c>
      <c r="E829" t="s">
        <v>845</v>
      </c>
      <c r="F829" t="s">
        <v>615</v>
      </c>
      <c r="G829">
        <v>2E-3</v>
      </c>
      <c r="H829" t="s">
        <v>11</v>
      </c>
    </row>
    <row r="830" spans="1:8" x14ac:dyDescent="0.25">
      <c r="A830" t="str">
        <f t="shared" si="12"/>
        <v>31-Jul-18</v>
      </c>
      <c r="B830" t="s">
        <v>7</v>
      </c>
      <c r="C830" t="s">
        <v>8</v>
      </c>
      <c r="D830" t="str">
        <f>"6800602"</f>
        <v>6800602</v>
      </c>
      <c r="E830" t="s">
        <v>846</v>
      </c>
      <c r="F830" t="s">
        <v>615</v>
      </c>
      <c r="G830">
        <v>8.0000000000000002E-3</v>
      </c>
      <c r="H830" t="s">
        <v>11</v>
      </c>
    </row>
    <row r="831" spans="1:8" x14ac:dyDescent="0.25">
      <c r="A831" t="str">
        <f t="shared" si="12"/>
        <v>31-Jul-18</v>
      </c>
      <c r="B831" t="s">
        <v>7</v>
      </c>
      <c r="C831" t="s">
        <v>8</v>
      </c>
      <c r="D831" t="str">
        <f>"6804369"</f>
        <v>6804369</v>
      </c>
      <c r="E831" t="s">
        <v>847</v>
      </c>
      <c r="F831" t="s">
        <v>615</v>
      </c>
      <c r="G831">
        <v>1.4999999999999999E-2</v>
      </c>
      <c r="H831" t="s">
        <v>11</v>
      </c>
    </row>
    <row r="832" spans="1:8" x14ac:dyDescent="0.25">
      <c r="A832" t="str">
        <f t="shared" si="12"/>
        <v>31-Jul-18</v>
      </c>
      <c r="B832" t="s">
        <v>7</v>
      </c>
      <c r="C832" t="s">
        <v>8</v>
      </c>
      <c r="D832" t="str">
        <f>"6804035"</f>
        <v>6804035</v>
      </c>
      <c r="E832" t="s">
        <v>848</v>
      </c>
      <c r="F832" t="s">
        <v>615</v>
      </c>
      <c r="G832">
        <v>3.0000000000000001E-3</v>
      </c>
      <c r="H832" t="s">
        <v>11</v>
      </c>
    </row>
    <row r="833" spans="1:8" x14ac:dyDescent="0.25">
      <c r="A833" t="str">
        <f t="shared" si="12"/>
        <v>31-Jul-18</v>
      </c>
      <c r="B833" t="s">
        <v>7</v>
      </c>
      <c r="C833" t="s">
        <v>8</v>
      </c>
      <c r="D833" t="str">
        <f>"6804820"</f>
        <v>6804820</v>
      </c>
      <c r="E833" t="s">
        <v>849</v>
      </c>
      <c r="F833" t="s">
        <v>615</v>
      </c>
      <c r="G833">
        <v>1.2E-2</v>
      </c>
      <c r="H833" t="s">
        <v>11</v>
      </c>
    </row>
    <row r="834" spans="1:8" x14ac:dyDescent="0.25">
      <c r="A834" t="str">
        <f t="shared" ref="A834:A897" si="13">"31-Jul-18"</f>
        <v>31-Jul-18</v>
      </c>
      <c r="B834" t="s">
        <v>7</v>
      </c>
      <c r="C834" t="s">
        <v>8</v>
      </c>
      <c r="D834" t="str">
        <f>"6804400"</f>
        <v>6804400</v>
      </c>
      <c r="E834" t="s">
        <v>850</v>
      </c>
      <c r="F834" t="s">
        <v>615</v>
      </c>
      <c r="G834">
        <v>1.4E-2</v>
      </c>
      <c r="H834" t="s">
        <v>11</v>
      </c>
    </row>
    <row r="835" spans="1:8" x14ac:dyDescent="0.25">
      <c r="A835" t="str">
        <f t="shared" si="13"/>
        <v>31-Jul-18</v>
      </c>
      <c r="B835" t="s">
        <v>7</v>
      </c>
      <c r="C835" t="s">
        <v>8</v>
      </c>
      <c r="D835" t="str">
        <f>"6804585"</f>
        <v>6804585</v>
      </c>
      <c r="E835" t="s">
        <v>851</v>
      </c>
      <c r="F835" t="s">
        <v>615</v>
      </c>
      <c r="G835">
        <v>0.08</v>
      </c>
      <c r="H835" t="s">
        <v>11</v>
      </c>
    </row>
    <row r="836" spans="1:8" x14ac:dyDescent="0.25">
      <c r="A836" t="str">
        <f t="shared" si="13"/>
        <v>31-Jul-18</v>
      </c>
      <c r="B836" t="s">
        <v>7</v>
      </c>
      <c r="C836" t="s">
        <v>8</v>
      </c>
      <c r="D836" t="str">
        <f>"6730936"</f>
        <v>6730936</v>
      </c>
      <c r="E836" t="s">
        <v>852</v>
      </c>
      <c r="F836" t="s">
        <v>615</v>
      </c>
      <c r="G836">
        <v>4.0000000000000001E-3</v>
      </c>
      <c r="H836" t="s">
        <v>11</v>
      </c>
    </row>
    <row r="837" spans="1:8" x14ac:dyDescent="0.25">
      <c r="A837" t="str">
        <f t="shared" si="13"/>
        <v>31-Jul-18</v>
      </c>
      <c r="B837" t="s">
        <v>7</v>
      </c>
      <c r="C837" t="s">
        <v>8</v>
      </c>
      <c r="D837" t="str">
        <f>"6804682"</f>
        <v>6804682</v>
      </c>
      <c r="E837" t="s">
        <v>853</v>
      </c>
      <c r="F837" t="s">
        <v>615</v>
      </c>
      <c r="G837">
        <v>5.5E-2</v>
      </c>
      <c r="H837" t="s">
        <v>11</v>
      </c>
    </row>
    <row r="838" spans="1:8" x14ac:dyDescent="0.25">
      <c r="A838" t="str">
        <f t="shared" si="13"/>
        <v>31-Jul-18</v>
      </c>
      <c r="B838" t="s">
        <v>7</v>
      </c>
      <c r="C838" t="s">
        <v>8</v>
      </c>
      <c r="D838" t="str">
        <f>"6805265"</f>
        <v>6805265</v>
      </c>
      <c r="E838" t="s">
        <v>854</v>
      </c>
      <c r="F838" t="s">
        <v>615</v>
      </c>
      <c r="G838">
        <v>5.8999999999999997E-2</v>
      </c>
      <c r="H838" t="s">
        <v>11</v>
      </c>
    </row>
    <row r="839" spans="1:8" x14ac:dyDescent="0.25">
      <c r="A839" t="str">
        <f t="shared" si="13"/>
        <v>31-Jul-18</v>
      </c>
      <c r="B839" t="s">
        <v>7</v>
      </c>
      <c r="C839" t="s">
        <v>8</v>
      </c>
      <c r="D839" t="str">
        <f>"6805328"</f>
        <v>6805328</v>
      </c>
      <c r="E839" t="s">
        <v>855</v>
      </c>
      <c r="F839" t="s">
        <v>615</v>
      </c>
      <c r="G839">
        <v>7.0000000000000001E-3</v>
      </c>
      <c r="H839" t="s">
        <v>11</v>
      </c>
    </row>
    <row r="840" spans="1:8" x14ac:dyDescent="0.25">
      <c r="A840" t="str">
        <f t="shared" si="13"/>
        <v>31-Jul-18</v>
      </c>
      <c r="B840" t="s">
        <v>7</v>
      </c>
      <c r="C840" t="s">
        <v>8</v>
      </c>
      <c r="D840" t="str">
        <f>"6805544"</f>
        <v>6805544</v>
      </c>
      <c r="E840" t="s">
        <v>856</v>
      </c>
      <c r="F840" t="s">
        <v>615</v>
      </c>
      <c r="G840">
        <v>1.2999999999999999E-2</v>
      </c>
      <c r="H840" t="s">
        <v>11</v>
      </c>
    </row>
    <row r="841" spans="1:8" x14ac:dyDescent="0.25">
      <c r="A841" t="str">
        <f t="shared" si="13"/>
        <v>31-Jul-18</v>
      </c>
      <c r="B841" t="s">
        <v>7</v>
      </c>
      <c r="C841" t="s">
        <v>8</v>
      </c>
      <c r="D841" t="str">
        <f>"6770620"</f>
        <v>6770620</v>
      </c>
      <c r="E841" t="s">
        <v>857</v>
      </c>
      <c r="F841" t="s">
        <v>615</v>
      </c>
      <c r="G841">
        <v>0.14299999999999999</v>
      </c>
      <c r="H841" t="s">
        <v>11</v>
      </c>
    </row>
    <row r="842" spans="1:8" x14ac:dyDescent="0.25">
      <c r="A842" t="str">
        <f t="shared" si="13"/>
        <v>31-Jul-18</v>
      </c>
      <c r="B842" t="s">
        <v>7</v>
      </c>
      <c r="C842" t="s">
        <v>8</v>
      </c>
      <c r="D842" t="str">
        <f>"6546359"</f>
        <v>6546359</v>
      </c>
      <c r="E842" t="s">
        <v>858</v>
      </c>
      <c r="F842" t="s">
        <v>615</v>
      </c>
      <c r="G842">
        <v>7.0000000000000001E-3</v>
      </c>
      <c r="H842" t="s">
        <v>11</v>
      </c>
    </row>
    <row r="843" spans="1:8" x14ac:dyDescent="0.25">
      <c r="A843" t="str">
        <f t="shared" si="13"/>
        <v>31-Jul-18</v>
      </c>
      <c r="B843" t="s">
        <v>7</v>
      </c>
      <c r="C843" t="s">
        <v>8</v>
      </c>
      <c r="D843" t="str">
        <f>"B62G7K6"</f>
        <v>B62G7K6</v>
      </c>
      <c r="E843" t="s">
        <v>859</v>
      </c>
      <c r="F843" t="s">
        <v>615</v>
      </c>
      <c r="G843">
        <v>5.7000000000000002E-2</v>
      </c>
      <c r="H843" t="s">
        <v>11</v>
      </c>
    </row>
    <row r="844" spans="1:8" x14ac:dyDescent="0.25">
      <c r="A844" t="str">
        <f t="shared" si="13"/>
        <v>31-Jul-18</v>
      </c>
      <c r="B844" t="s">
        <v>7</v>
      </c>
      <c r="C844" t="s">
        <v>8</v>
      </c>
      <c r="D844" t="str">
        <f>"6821506"</f>
        <v>6821506</v>
      </c>
      <c r="E844" t="s">
        <v>860</v>
      </c>
      <c r="F844" t="s">
        <v>615</v>
      </c>
      <c r="G844">
        <v>0.27500000000000002</v>
      </c>
      <c r="H844" t="s">
        <v>11</v>
      </c>
    </row>
    <row r="845" spans="1:8" x14ac:dyDescent="0.25">
      <c r="A845" t="str">
        <f t="shared" si="13"/>
        <v>31-Jul-18</v>
      </c>
      <c r="B845" t="s">
        <v>7</v>
      </c>
      <c r="C845" t="s">
        <v>8</v>
      </c>
      <c r="D845" t="str">
        <f>"B249SN5"</f>
        <v>B249SN5</v>
      </c>
      <c r="E845" t="s">
        <v>861</v>
      </c>
      <c r="F845" t="s">
        <v>615</v>
      </c>
      <c r="G845">
        <v>4.0000000000000001E-3</v>
      </c>
      <c r="H845" t="s">
        <v>11</v>
      </c>
    </row>
    <row r="846" spans="1:8" x14ac:dyDescent="0.25">
      <c r="A846" t="str">
        <f t="shared" si="13"/>
        <v>31-Jul-18</v>
      </c>
      <c r="B846" t="s">
        <v>7</v>
      </c>
      <c r="C846" t="s">
        <v>8</v>
      </c>
      <c r="D846" t="str">
        <f>"6841106"</f>
        <v>6841106</v>
      </c>
      <c r="E846" t="s">
        <v>862</v>
      </c>
      <c r="F846" t="s">
        <v>615</v>
      </c>
      <c r="G846">
        <v>8.0000000000000002E-3</v>
      </c>
      <c r="H846" t="s">
        <v>11</v>
      </c>
    </row>
    <row r="847" spans="1:8" x14ac:dyDescent="0.25">
      <c r="A847" t="str">
        <f t="shared" si="13"/>
        <v>31-Jul-18</v>
      </c>
      <c r="B847" t="s">
        <v>7</v>
      </c>
      <c r="C847" t="s">
        <v>8</v>
      </c>
      <c r="D847" t="str">
        <f>"B292RC1"</f>
        <v>B292RC1</v>
      </c>
      <c r="E847" t="s">
        <v>863</v>
      </c>
      <c r="F847" t="s">
        <v>615</v>
      </c>
      <c r="G847">
        <v>1.4999999999999999E-2</v>
      </c>
      <c r="H847" t="s">
        <v>11</v>
      </c>
    </row>
    <row r="848" spans="1:8" x14ac:dyDescent="0.25">
      <c r="A848" t="str">
        <f t="shared" si="13"/>
        <v>31-Jul-18</v>
      </c>
      <c r="B848" t="s">
        <v>7</v>
      </c>
      <c r="C848" t="s">
        <v>8</v>
      </c>
      <c r="D848" t="str">
        <f>"6356406"</f>
        <v>6356406</v>
      </c>
      <c r="E848" t="s">
        <v>864</v>
      </c>
      <c r="F848" t="s">
        <v>615</v>
      </c>
      <c r="G848">
        <v>2.9000000000000001E-2</v>
      </c>
      <c r="H848" t="s">
        <v>11</v>
      </c>
    </row>
    <row r="849" spans="1:8" x14ac:dyDescent="0.25">
      <c r="A849" t="str">
        <f t="shared" si="13"/>
        <v>31-Jul-18</v>
      </c>
      <c r="B849" t="s">
        <v>7</v>
      </c>
      <c r="C849" t="s">
        <v>8</v>
      </c>
      <c r="D849" t="str">
        <f>"6858560"</f>
        <v>6858560</v>
      </c>
      <c r="E849" t="s">
        <v>865</v>
      </c>
      <c r="F849" t="s">
        <v>615</v>
      </c>
      <c r="G849">
        <v>3.4000000000000002E-2</v>
      </c>
      <c r="H849" t="s">
        <v>11</v>
      </c>
    </row>
    <row r="850" spans="1:8" x14ac:dyDescent="0.25">
      <c r="A850" t="str">
        <f t="shared" si="13"/>
        <v>31-Jul-18</v>
      </c>
      <c r="B850" t="s">
        <v>7</v>
      </c>
      <c r="C850" t="s">
        <v>8</v>
      </c>
      <c r="D850" t="str">
        <f>"6858946"</f>
        <v>6858946</v>
      </c>
      <c r="E850" t="s">
        <v>866</v>
      </c>
      <c r="F850" t="s">
        <v>615</v>
      </c>
      <c r="G850">
        <v>3.4000000000000002E-2</v>
      </c>
      <c r="H850" t="s">
        <v>11</v>
      </c>
    </row>
    <row r="851" spans="1:8" x14ac:dyDescent="0.25">
      <c r="A851" t="str">
        <f t="shared" si="13"/>
        <v>31-Jul-18</v>
      </c>
      <c r="B851" t="s">
        <v>7</v>
      </c>
      <c r="C851" t="s">
        <v>8</v>
      </c>
      <c r="D851" t="str">
        <f>"6250865"</f>
        <v>6250865</v>
      </c>
      <c r="E851" t="s">
        <v>867</v>
      </c>
      <c r="F851" t="s">
        <v>615</v>
      </c>
      <c r="G851">
        <v>8.9999999999999993E-3</v>
      </c>
      <c r="H851" t="s">
        <v>11</v>
      </c>
    </row>
    <row r="852" spans="1:8" x14ac:dyDescent="0.25">
      <c r="A852" t="str">
        <f t="shared" si="13"/>
        <v>31-Jul-18</v>
      </c>
      <c r="B852" t="s">
        <v>7</v>
      </c>
      <c r="C852" t="s">
        <v>8</v>
      </c>
      <c r="D852" t="str">
        <f>"6858708"</f>
        <v>6858708</v>
      </c>
      <c r="E852" t="s">
        <v>868</v>
      </c>
      <c r="F852" t="s">
        <v>615</v>
      </c>
      <c r="G852">
        <v>2.1000000000000001E-2</v>
      </c>
      <c r="H852" t="s">
        <v>11</v>
      </c>
    </row>
    <row r="853" spans="1:8" x14ac:dyDescent="0.25">
      <c r="A853" t="str">
        <f t="shared" si="13"/>
        <v>31-Jul-18</v>
      </c>
      <c r="B853" t="s">
        <v>7</v>
      </c>
      <c r="C853" t="s">
        <v>8</v>
      </c>
      <c r="D853" t="str">
        <f>"6858731"</f>
        <v>6858731</v>
      </c>
      <c r="E853" t="s">
        <v>869</v>
      </c>
      <c r="F853" t="s">
        <v>615</v>
      </c>
      <c r="G853">
        <v>0.01</v>
      </c>
      <c r="H853" t="s">
        <v>11</v>
      </c>
    </row>
    <row r="854" spans="1:8" x14ac:dyDescent="0.25">
      <c r="A854" t="str">
        <f t="shared" si="13"/>
        <v>31-Jul-18</v>
      </c>
      <c r="B854" t="s">
        <v>7</v>
      </c>
      <c r="C854" t="s">
        <v>8</v>
      </c>
      <c r="D854" t="str">
        <f>"6858849"</f>
        <v>6858849</v>
      </c>
      <c r="E854" t="s">
        <v>870</v>
      </c>
      <c r="F854" t="s">
        <v>615</v>
      </c>
      <c r="G854">
        <v>1.7999999999999999E-2</v>
      </c>
      <c r="H854" t="s">
        <v>11</v>
      </c>
    </row>
    <row r="855" spans="1:8" x14ac:dyDescent="0.25">
      <c r="A855" t="str">
        <f t="shared" si="13"/>
        <v>31-Jul-18</v>
      </c>
      <c r="B855" t="s">
        <v>7</v>
      </c>
      <c r="C855" t="s">
        <v>8</v>
      </c>
      <c r="D855" t="str">
        <f>"6563024"</f>
        <v>6563024</v>
      </c>
      <c r="E855" t="s">
        <v>871</v>
      </c>
      <c r="F855" t="s">
        <v>615</v>
      </c>
      <c r="G855">
        <v>0.114</v>
      </c>
      <c r="H855" t="s">
        <v>11</v>
      </c>
    </row>
    <row r="856" spans="1:8" x14ac:dyDescent="0.25">
      <c r="A856" t="str">
        <f t="shared" si="13"/>
        <v>31-Jul-18</v>
      </c>
      <c r="B856" t="s">
        <v>7</v>
      </c>
      <c r="C856" t="s">
        <v>8</v>
      </c>
      <c r="D856" t="str">
        <f>"6431897"</f>
        <v>6431897</v>
      </c>
      <c r="E856" t="s">
        <v>872</v>
      </c>
      <c r="F856" t="s">
        <v>615</v>
      </c>
      <c r="G856">
        <v>5.1999999999999998E-2</v>
      </c>
      <c r="H856" t="s">
        <v>11</v>
      </c>
    </row>
    <row r="857" spans="1:8" x14ac:dyDescent="0.25">
      <c r="A857" t="str">
        <f t="shared" si="13"/>
        <v>31-Jul-18</v>
      </c>
      <c r="B857" t="s">
        <v>7</v>
      </c>
      <c r="C857" t="s">
        <v>8</v>
      </c>
      <c r="D857" t="str">
        <f>"6858902"</f>
        <v>6858902</v>
      </c>
      <c r="E857" t="s">
        <v>873</v>
      </c>
      <c r="F857" t="s">
        <v>615</v>
      </c>
      <c r="G857">
        <v>1.4999999999999999E-2</v>
      </c>
      <c r="H857" t="s">
        <v>11</v>
      </c>
    </row>
    <row r="858" spans="1:8" x14ac:dyDescent="0.25">
      <c r="A858" t="str">
        <f t="shared" si="13"/>
        <v>31-Jul-18</v>
      </c>
      <c r="B858" t="s">
        <v>7</v>
      </c>
      <c r="C858" t="s">
        <v>8</v>
      </c>
      <c r="D858" t="str">
        <f>"6858991"</f>
        <v>6858991</v>
      </c>
      <c r="E858" t="s">
        <v>874</v>
      </c>
      <c r="F858" t="s">
        <v>615</v>
      </c>
      <c r="G858">
        <v>5.0000000000000001E-3</v>
      </c>
      <c r="H858" t="s">
        <v>11</v>
      </c>
    </row>
    <row r="859" spans="1:8" x14ac:dyDescent="0.25">
      <c r="A859" t="str">
        <f t="shared" si="13"/>
        <v>31-Jul-18</v>
      </c>
      <c r="B859" t="s">
        <v>7</v>
      </c>
      <c r="C859" t="s">
        <v>8</v>
      </c>
      <c r="D859" t="str">
        <f>"6817895"</f>
        <v>6817895</v>
      </c>
      <c r="E859" t="s">
        <v>875</v>
      </c>
      <c r="F859" t="s">
        <v>615</v>
      </c>
      <c r="G859">
        <v>7.0000000000000001E-3</v>
      </c>
      <c r="H859" t="s">
        <v>11</v>
      </c>
    </row>
    <row r="860" spans="1:8" x14ac:dyDescent="0.25">
      <c r="A860" t="str">
        <f t="shared" si="13"/>
        <v>31-Jul-18</v>
      </c>
      <c r="B860" t="s">
        <v>7</v>
      </c>
      <c r="C860" t="s">
        <v>8</v>
      </c>
      <c r="D860" t="str">
        <f>"BBD7Q84"</f>
        <v>BBD7Q84</v>
      </c>
      <c r="E860" t="s">
        <v>876</v>
      </c>
      <c r="F860" t="s">
        <v>615</v>
      </c>
      <c r="G860">
        <v>1.2E-2</v>
      </c>
      <c r="H860" t="s">
        <v>11</v>
      </c>
    </row>
    <row r="861" spans="1:8" x14ac:dyDescent="0.25">
      <c r="A861" t="str">
        <f t="shared" si="13"/>
        <v>31-Jul-18</v>
      </c>
      <c r="B861" t="s">
        <v>7</v>
      </c>
      <c r="C861" t="s">
        <v>8</v>
      </c>
      <c r="D861" t="str">
        <f>"6865560"</f>
        <v>6865560</v>
      </c>
      <c r="E861" t="s">
        <v>877</v>
      </c>
      <c r="F861" t="s">
        <v>615</v>
      </c>
      <c r="G861">
        <v>5.0000000000000001E-3</v>
      </c>
      <c r="H861" t="s">
        <v>11</v>
      </c>
    </row>
    <row r="862" spans="1:8" x14ac:dyDescent="0.25">
      <c r="A862" t="str">
        <f t="shared" si="13"/>
        <v>31-Jul-18</v>
      </c>
      <c r="B862" t="s">
        <v>7</v>
      </c>
      <c r="C862" t="s">
        <v>8</v>
      </c>
      <c r="D862" t="str">
        <f>"6865504"</f>
        <v>6865504</v>
      </c>
      <c r="E862" t="s">
        <v>878</v>
      </c>
      <c r="F862" t="s">
        <v>615</v>
      </c>
      <c r="G862">
        <v>2.3E-2</v>
      </c>
      <c r="H862" t="s">
        <v>11</v>
      </c>
    </row>
    <row r="863" spans="1:8" x14ac:dyDescent="0.25">
      <c r="A863" t="str">
        <f t="shared" si="13"/>
        <v>31-Jul-18</v>
      </c>
      <c r="B863" t="s">
        <v>7</v>
      </c>
      <c r="C863" t="s">
        <v>8</v>
      </c>
      <c r="D863" t="str">
        <f>"6883807"</f>
        <v>6883807</v>
      </c>
      <c r="E863" t="s">
        <v>879</v>
      </c>
      <c r="F863" t="s">
        <v>615</v>
      </c>
      <c r="G863">
        <v>6.5000000000000002E-2</v>
      </c>
      <c r="H863" t="s">
        <v>11</v>
      </c>
    </row>
    <row r="864" spans="1:8" x14ac:dyDescent="0.25">
      <c r="A864" t="str">
        <f t="shared" si="13"/>
        <v>31-Jul-18</v>
      </c>
      <c r="B864" t="s">
        <v>7</v>
      </c>
      <c r="C864" t="s">
        <v>8</v>
      </c>
      <c r="D864" t="str">
        <f>"6744294"</f>
        <v>6744294</v>
      </c>
      <c r="E864" t="s">
        <v>880</v>
      </c>
      <c r="F864" t="s">
        <v>615</v>
      </c>
      <c r="G864">
        <v>1.7999999999999999E-2</v>
      </c>
      <c r="H864" t="s">
        <v>11</v>
      </c>
    </row>
    <row r="865" spans="1:8" x14ac:dyDescent="0.25">
      <c r="A865" t="str">
        <f t="shared" si="13"/>
        <v>31-Jul-18</v>
      </c>
      <c r="B865" t="s">
        <v>7</v>
      </c>
      <c r="C865" t="s">
        <v>8</v>
      </c>
      <c r="D865" t="str">
        <f>"6869302"</f>
        <v>6869302</v>
      </c>
      <c r="E865" t="s">
        <v>881</v>
      </c>
      <c r="F865" t="s">
        <v>615</v>
      </c>
      <c r="G865">
        <v>2.3E-2</v>
      </c>
      <c r="H865" t="s">
        <v>11</v>
      </c>
    </row>
    <row r="866" spans="1:8" x14ac:dyDescent="0.25">
      <c r="A866" t="str">
        <f t="shared" si="13"/>
        <v>31-Jul-18</v>
      </c>
      <c r="B866" t="s">
        <v>7</v>
      </c>
      <c r="C866" t="s">
        <v>8</v>
      </c>
      <c r="D866" t="str">
        <f>"6869131"</f>
        <v>6869131</v>
      </c>
      <c r="E866" t="s">
        <v>882</v>
      </c>
      <c r="F866" t="s">
        <v>615</v>
      </c>
      <c r="G866">
        <v>8.0000000000000002E-3</v>
      </c>
      <c r="H866" t="s">
        <v>11</v>
      </c>
    </row>
    <row r="867" spans="1:8" x14ac:dyDescent="0.25">
      <c r="A867" t="str">
        <f t="shared" si="13"/>
        <v>31-Jul-18</v>
      </c>
      <c r="B867" t="s">
        <v>7</v>
      </c>
      <c r="C867" t="s">
        <v>8</v>
      </c>
      <c r="D867" t="str">
        <f>"6897466"</f>
        <v>6897466</v>
      </c>
      <c r="E867" t="s">
        <v>883</v>
      </c>
      <c r="F867" t="s">
        <v>615</v>
      </c>
      <c r="G867">
        <v>1.6E-2</v>
      </c>
      <c r="H867" t="s">
        <v>11</v>
      </c>
    </row>
    <row r="868" spans="1:8" x14ac:dyDescent="0.25">
      <c r="A868" t="str">
        <f t="shared" si="13"/>
        <v>31-Jul-18</v>
      </c>
      <c r="B868" t="s">
        <v>7</v>
      </c>
      <c r="C868" t="s">
        <v>8</v>
      </c>
      <c r="D868" t="str">
        <f>"6660204"</f>
        <v>6660204</v>
      </c>
      <c r="E868" t="s">
        <v>884</v>
      </c>
      <c r="F868" t="s">
        <v>615</v>
      </c>
      <c r="G868">
        <v>5.0000000000000001E-3</v>
      </c>
      <c r="H868" t="s">
        <v>11</v>
      </c>
    </row>
    <row r="869" spans="1:8" x14ac:dyDescent="0.25">
      <c r="A869" t="str">
        <f t="shared" si="13"/>
        <v>31-Jul-18</v>
      </c>
      <c r="B869" t="s">
        <v>7</v>
      </c>
      <c r="C869" t="s">
        <v>8</v>
      </c>
      <c r="D869" t="str">
        <f>"6870100"</f>
        <v>6870100</v>
      </c>
      <c r="E869" t="s">
        <v>885</v>
      </c>
      <c r="F869" t="s">
        <v>615</v>
      </c>
      <c r="G869">
        <v>2.9000000000000001E-2</v>
      </c>
      <c r="H869" t="s">
        <v>11</v>
      </c>
    </row>
    <row r="870" spans="1:8" x14ac:dyDescent="0.25">
      <c r="A870" t="str">
        <f t="shared" si="13"/>
        <v>31-Jul-18</v>
      </c>
      <c r="B870" t="s">
        <v>7</v>
      </c>
      <c r="C870" t="s">
        <v>8</v>
      </c>
      <c r="D870" t="str">
        <f>"B3QX5G4"</f>
        <v>B3QX5G4</v>
      </c>
      <c r="E870" t="s">
        <v>886</v>
      </c>
      <c r="F870" t="s">
        <v>615</v>
      </c>
      <c r="G870">
        <v>1.7000000000000001E-2</v>
      </c>
      <c r="H870" t="s">
        <v>11</v>
      </c>
    </row>
    <row r="871" spans="1:8" x14ac:dyDescent="0.25">
      <c r="A871" t="str">
        <f t="shared" si="13"/>
        <v>31-Jul-18</v>
      </c>
      <c r="B871" t="s">
        <v>7</v>
      </c>
      <c r="C871" t="s">
        <v>8</v>
      </c>
      <c r="D871" t="str">
        <f>"6640541"</f>
        <v>6640541</v>
      </c>
      <c r="E871" t="s">
        <v>887</v>
      </c>
      <c r="F871" t="s">
        <v>615</v>
      </c>
      <c r="G871">
        <v>2E-3</v>
      </c>
      <c r="H871" t="s">
        <v>11</v>
      </c>
    </row>
    <row r="872" spans="1:8" x14ac:dyDescent="0.25">
      <c r="A872" t="str">
        <f t="shared" si="13"/>
        <v>31-Jul-18</v>
      </c>
      <c r="B872" t="s">
        <v>7</v>
      </c>
      <c r="C872" t="s">
        <v>8</v>
      </c>
      <c r="D872" t="str">
        <f>"6870401"</f>
        <v>6870401</v>
      </c>
      <c r="E872" t="s">
        <v>888</v>
      </c>
      <c r="F872" t="s">
        <v>615</v>
      </c>
      <c r="G872">
        <v>7.0000000000000001E-3</v>
      </c>
      <c r="H872" t="s">
        <v>11</v>
      </c>
    </row>
    <row r="873" spans="1:8" x14ac:dyDescent="0.25">
      <c r="A873" t="str">
        <f t="shared" si="13"/>
        <v>31-Jul-18</v>
      </c>
      <c r="B873" t="s">
        <v>7</v>
      </c>
      <c r="C873" t="s">
        <v>8</v>
      </c>
      <c r="D873" t="str">
        <f>"6870445"</f>
        <v>6870445</v>
      </c>
      <c r="E873" t="s">
        <v>889</v>
      </c>
      <c r="F873" t="s">
        <v>615</v>
      </c>
      <c r="G873">
        <v>8.5000000000000006E-2</v>
      </c>
      <c r="H873" t="s">
        <v>11</v>
      </c>
    </row>
    <row r="874" spans="1:8" x14ac:dyDescent="0.25">
      <c r="A874" t="str">
        <f t="shared" si="13"/>
        <v>31-Jul-18</v>
      </c>
      <c r="B874" t="s">
        <v>7</v>
      </c>
      <c r="C874" t="s">
        <v>8</v>
      </c>
      <c r="D874" t="str">
        <f>"6880507"</f>
        <v>6880507</v>
      </c>
      <c r="E874" t="s">
        <v>890</v>
      </c>
      <c r="F874" t="s">
        <v>615</v>
      </c>
      <c r="G874">
        <v>2E-3</v>
      </c>
      <c r="H874" t="s">
        <v>11</v>
      </c>
    </row>
    <row r="875" spans="1:8" x14ac:dyDescent="0.25">
      <c r="A875" t="str">
        <f t="shared" si="13"/>
        <v>31-Jul-18</v>
      </c>
      <c r="B875" t="s">
        <v>7</v>
      </c>
      <c r="C875" t="s">
        <v>8</v>
      </c>
      <c r="D875" t="str">
        <f>"6885074"</f>
        <v>6885074</v>
      </c>
      <c r="E875" t="s">
        <v>891</v>
      </c>
      <c r="F875" t="s">
        <v>615</v>
      </c>
      <c r="G875">
        <v>2.7E-2</v>
      </c>
      <c r="H875" t="s">
        <v>11</v>
      </c>
    </row>
    <row r="876" spans="1:8" x14ac:dyDescent="0.25">
      <c r="A876" t="str">
        <f t="shared" si="13"/>
        <v>31-Jul-18</v>
      </c>
      <c r="B876" t="s">
        <v>7</v>
      </c>
      <c r="C876" t="s">
        <v>8</v>
      </c>
      <c r="D876" t="str">
        <f>"6895169"</f>
        <v>6895169</v>
      </c>
      <c r="E876" t="s">
        <v>892</v>
      </c>
      <c r="F876" t="s">
        <v>615</v>
      </c>
      <c r="G876">
        <v>1.2E-2</v>
      </c>
      <c r="H876" t="s">
        <v>11</v>
      </c>
    </row>
    <row r="877" spans="1:8" x14ac:dyDescent="0.25">
      <c r="A877" t="str">
        <f t="shared" si="13"/>
        <v>31-Jul-18</v>
      </c>
      <c r="B877" t="s">
        <v>7</v>
      </c>
      <c r="C877" t="s">
        <v>8</v>
      </c>
      <c r="D877" t="str">
        <f>"6895200"</f>
        <v>6895200</v>
      </c>
      <c r="E877" t="s">
        <v>893</v>
      </c>
      <c r="F877" t="s">
        <v>615</v>
      </c>
      <c r="G877">
        <v>6.0000000000000001E-3</v>
      </c>
      <c r="H877" t="s">
        <v>11</v>
      </c>
    </row>
    <row r="878" spans="1:8" x14ac:dyDescent="0.25">
      <c r="A878" t="str">
        <f t="shared" si="13"/>
        <v>31-Jul-18</v>
      </c>
      <c r="B878" t="s">
        <v>7</v>
      </c>
      <c r="C878" t="s">
        <v>8</v>
      </c>
      <c r="D878" t="str">
        <f>"6895222"</f>
        <v>6895222</v>
      </c>
      <c r="E878" t="s">
        <v>894</v>
      </c>
      <c r="F878" t="s">
        <v>615</v>
      </c>
      <c r="G878">
        <v>6.0000000000000001E-3</v>
      </c>
      <c r="H878" t="s">
        <v>11</v>
      </c>
    </row>
    <row r="879" spans="1:8" x14ac:dyDescent="0.25">
      <c r="A879" t="str">
        <f t="shared" si="13"/>
        <v>31-Jul-18</v>
      </c>
      <c r="B879" t="s">
        <v>7</v>
      </c>
      <c r="C879" t="s">
        <v>8</v>
      </c>
      <c r="D879" t="str">
        <f>"6895266"</f>
        <v>6895266</v>
      </c>
      <c r="E879" t="s">
        <v>895</v>
      </c>
      <c r="F879" t="s">
        <v>615</v>
      </c>
      <c r="G879">
        <v>1.0999999999999999E-2</v>
      </c>
      <c r="H879" t="s">
        <v>11</v>
      </c>
    </row>
    <row r="880" spans="1:8" x14ac:dyDescent="0.25">
      <c r="A880" t="str">
        <f t="shared" si="13"/>
        <v>31-Jul-18</v>
      </c>
      <c r="B880" t="s">
        <v>7</v>
      </c>
      <c r="C880" t="s">
        <v>8</v>
      </c>
      <c r="D880" t="str">
        <f>"6513126"</f>
        <v>6513126</v>
      </c>
      <c r="E880" t="s">
        <v>896</v>
      </c>
      <c r="F880" t="s">
        <v>615</v>
      </c>
      <c r="G880">
        <v>6.6000000000000003E-2</v>
      </c>
      <c r="H880" t="s">
        <v>11</v>
      </c>
    </row>
    <row r="881" spans="1:8" x14ac:dyDescent="0.25">
      <c r="A881" t="str">
        <f t="shared" si="13"/>
        <v>31-Jul-18</v>
      </c>
      <c r="B881" t="s">
        <v>7</v>
      </c>
      <c r="C881" t="s">
        <v>8</v>
      </c>
      <c r="D881" t="str">
        <f>"6895675"</f>
        <v>6895675</v>
      </c>
      <c r="E881" t="s">
        <v>897</v>
      </c>
      <c r="F881" t="s">
        <v>615</v>
      </c>
      <c r="G881">
        <v>6.9000000000000006E-2</v>
      </c>
      <c r="H881" t="s">
        <v>11</v>
      </c>
    </row>
    <row r="882" spans="1:8" x14ac:dyDescent="0.25">
      <c r="A882" t="str">
        <f t="shared" si="13"/>
        <v>31-Jul-18</v>
      </c>
      <c r="B882" t="s">
        <v>7</v>
      </c>
      <c r="C882" t="s">
        <v>8</v>
      </c>
      <c r="D882" t="str">
        <f>"6895448"</f>
        <v>6895448</v>
      </c>
      <c r="E882" t="s">
        <v>898</v>
      </c>
      <c r="F882" t="s">
        <v>615</v>
      </c>
      <c r="G882">
        <v>4.2000000000000003E-2</v>
      </c>
      <c r="H882" t="s">
        <v>11</v>
      </c>
    </row>
    <row r="883" spans="1:8" x14ac:dyDescent="0.25">
      <c r="A883" t="str">
        <f t="shared" si="13"/>
        <v>31-Jul-18</v>
      </c>
      <c r="B883" t="s">
        <v>7</v>
      </c>
      <c r="C883" t="s">
        <v>8</v>
      </c>
      <c r="D883" t="str">
        <f>"6895426"</f>
        <v>6895426</v>
      </c>
      <c r="E883" t="s">
        <v>899</v>
      </c>
      <c r="F883" t="s">
        <v>615</v>
      </c>
      <c r="G883">
        <v>4.0000000000000001E-3</v>
      </c>
      <c r="H883" t="s">
        <v>11</v>
      </c>
    </row>
    <row r="884" spans="1:8" x14ac:dyDescent="0.25">
      <c r="A884" t="str">
        <f t="shared" si="13"/>
        <v>31-Jul-18</v>
      </c>
      <c r="B884" t="s">
        <v>7</v>
      </c>
      <c r="C884" t="s">
        <v>8</v>
      </c>
      <c r="D884" t="str">
        <f>"6896548"</f>
        <v>6896548</v>
      </c>
      <c r="E884" t="s">
        <v>900</v>
      </c>
      <c r="F884" t="s">
        <v>615</v>
      </c>
      <c r="G884">
        <v>4.1000000000000002E-2</v>
      </c>
      <c r="H884" t="s">
        <v>11</v>
      </c>
    </row>
    <row r="885" spans="1:8" x14ac:dyDescent="0.25">
      <c r="A885" t="str">
        <f t="shared" si="13"/>
        <v>31-Jul-18</v>
      </c>
      <c r="B885" t="s">
        <v>7</v>
      </c>
      <c r="C885" t="s">
        <v>8</v>
      </c>
      <c r="D885" t="str">
        <f>"BDC6LT2"</f>
        <v>BDC6LT2</v>
      </c>
      <c r="E885" t="s">
        <v>901</v>
      </c>
      <c r="F885" t="s">
        <v>615</v>
      </c>
      <c r="G885">
        <v>6.0000000000000001E-3</v>
      </c>
      <c r="H885" t="s">
        <v>11</v>
      </c>
    </row>
    <row r="886" spans="1:8" x14ac:dyDescent="0.25">
      <c r="A886" t="str">
        <f t="shared" si="13"/>
        <v>31-Jul-18</v>
      </c>
      <c r="B886" t="s">
        <v>7</v>
      </c>
      <c r="C886" t="s">
        <v>8</v>
      </c>
      <c r="D886" t="str">
        <f>"6897024"</f>
        <v>6897024</v>
      </c>
      <c r="E886" t="s">
        <v>902</v>
      </c>
      <c r="F886" t="s">
        <v>615</v>
      </c>
      <c r="G886">
        <v>8.9999999999999993E-3</v>
      </c>
      <c r="H886" t="s">
        <v>11</v>
      </c>
    </row>
    <row r="887" spans="1:8" x14ac:dyDescent="0.25">
      <c r="A887" t="str">
        <f t="shared" si="13"/>
        <v>31-Jul-18</v>
      </c>
      <c r="B887" t="s">
        <v>7</v>
      </c>
      <c r="C887" t="s">
        <v>8</v>
      </c>
      <c r="D887" t="str">
        <f>"6897143"</f>
        <v>6897143</v>
      </c>
      <c r="E887" t="s">
        <v>903</v>
      </c>
      <c r="F887" t="s">
        <v>615</v>
      </c>
      <c r="G887">
        <v>4.7E-2</v>
      </c>
      <c r="H887" t="s">
        <v>11</v>
      </c>
    </row>
    <row r="888" spans="1:8" x14ac:dyDescent="0.25">
      <c r="A888" t="str">
        <f t="shared" si="13"/>
        <v>31-Jul-18</v>
      </c>
      <c r="B888" t="s">
        <v>7</v>
      </c>
      <c r="C888" t="s">
        <v>8</v>
      </c>
      <c r="D888" t="str">
        <f>"6900289"</f>
        <v>6900289</v>
      </c>
      <c r="E888" t="s">
        <v>904</v>
      </c>
      <c r="F888" t="s">
        <v>615</v>
      </c>
      <c r="G888">
        <v>0.01</v>
      </c>
      <c r="H888" t="s">
        <v>11</v>
      </c>
    </row>
    <row r="889" spans="1:8" x14ac:dyDescent="0.25">
      <c r="A889" t="str">
        <f t="shared" si="13"/>
        <v>31-Jul-18</v>
      </c>
      <c r="B889" t="s">
        <v>7</v>
      </c>
      <c r="C889" t="s">
        <v>8</v>
      </c>
      <c r="D889" t="str">
        <f>"6900267"</f>
        <v>6900267</v>
      </c>
      <c r="E889" t="s">
        <v>905</v>
      </c>
      <c r="F889" t="s">
        <v>615</v>
      </c>
      <c r="G889">
        <v>6.0000000000000001E-3</v>
      </c>
      <c r="H889" t="s">
        <v>11</v>
      </c>
    </row>
    <row r="890" spans="1:8" x14ac:dyDescent="0.25">
      <c r="A890" t="str">
        <f t="shared" si="13"/>
        <v>31-Jul-18</v>
      </c>
      <c r="B890" t="s">
        <v>7</v>
      </c>
      <c r="C890" t="s">
        <v>8</v>
      </c>
      <c r="D890" t="str">
        <f>"6899967"</f>
        <v>6899967</v>
      </c>
      <c r="E890" t="s">
        <v>906</v>
      </c>
      <c r="F890" t="s">
        <v>615</v>
      </c>
      <c r="G890">
        <v>5.0000000000000001E-3</v>
      </c>
      <c r="H890" t="s">
        <v>11</v>
      </c>
    </row>
    <row r="891" spans="1:8" x14ac:dyDescent="0.25">
      <c r="A891" t="str">
        <f t="shared" si="13"/>
        <v>31-Jul-18</v>
      </c>
      <c r="B891" t="s">
        <v>7</v>
      </c>
      <c r="C891" t="s">
        <v>8</v>
      </c>
      <c r="D891" t="str">
        <f>"6900557"</f>
        <v>6900557</v>
      </c>
      <c r="E891" t="s">
        <v>907</v>
      </c>
      <c r="F891" t="s">
        <v>615</v>
      </c>
      <c r="G891">
        <v>2E-3</v>
      </c>
      <c r="H891" t="s">
        <v>11</v>
      </c>
    </row>
    <row r="892" spans="1:8" x14ac:dyDescent="0.25">
      <c r="A892" t="str">
        <f t="shared" si="13"/>
        <v>31-Jul-18</v>
      </c>
      <c r="B892" t="s">
        <v>7</v>
      </c>
      <c r="C892" t="s">
        <v>8</v>
      </c>
      <c r="D892" t="str">
        <f>"6900546"</f>
        <v>6900546</v>
      </c>
      <c r="E892" t="s">
        <v>908</v>
      </c>
      <c r="F892" t="s">
        <v>615</v>
      </c>
      <c r="G892">
        <v>1.0999999999999999E-2</v>
      </c>
      <c r="H892" t="s">
        <v>11</v>
      </c>
    </row>
    <row r="893" spans="1:8" x14ac:dyDescent="0.25">
      <c r="A893" t="str">
        <f t="shared" si="13"/>
        <v>31-Jul-18</v>
      </c>
      <c r="B893" t="s">
        <v>7</v>
      </c>
      <c r="C893" t="s">
        <v>8</v>
      </c>
      <c r="D893" t="str">
        <f>"6900643"</f>
        <v>6900643</v>
      </c>
      <c r="E893" t="s">
        <v>909</v>
      </c>
      <c r="F893" t="s">
        <v>615</v>
      </c>
      <c r="G893">
        <v>0.309</v>
      </c>
      <c r="H893" t="s">
        <v>11</v>
      </c>
    </row>
    <row r="894" spans="1:8" x14ac:dyDescent="0.25">
      <c r="A894" t="str">
        <f t="shared" si="13"/>
        <v>31-Jul-18</v>
      </c>
      <c r="B894" t="s">
        <v>7</v>
      </c>
      <c r="C894" t="s">
        <v>8</v>
      </c>
      <c r="D894" t="str">
        <f>"6900580"</f>
        <v>6900580</v>
      </c>
      <c r="E894" t="s">
        <v>910</v>
      </c>
      <c r="F894" t="s">
        <v>615</v>
      </c>
      <c r="G894">
        <v>3.1E-2</v>
      </c>
      <c r="H894" t="s">
        <v>11</v>
      </c>
    </row>
    <row r="895" spans="1:8" x14ac:dyDescent="0.25">
      <c r="A895" t="str">
        <f t="shared" si="13"/>
        <v>31-Jul-18</v>
      </c>
      <c r="B895" t="s">
        <v>7</v>
      </c>
      <c r="C895" t="s">
        <v>8</v>
      </c>
      <c r="D895" t="str">
        <f>"6125286"</f>
        <v>6125286</v>
      </c>
      <c r="E895" t="s">
        <v>911</v>
      </c>
      <c r="F895" t="s">
        <v>615</v>
      </c>
      <c r="G895">
        <v>1.4E-2</v>
      </c>
      <c r="H895" t="s">
        <v>11</v>
      </c>
    </row>
    <row r="896" spans="1:8" x14ac:dyDescent="0.25">
      <c r="A896" t="str">
        <f t="shared" si="13"/>
        <v>31-Jul-18</v>
      </c>
      <c r="B896" t="s">
        <v>7</v>
      </c>
      <c r="C896" t="s">
        <v>8</v>
      </c>
      <c r="D896" t="str">
        <f>"B0MKZN5"</f>
        <v>B0MKZN5</v>
      </c>
      <c r="E896" t="s">
        <v>912</v>
      </c>
      <c r="F896" t="s">
        <v>615</v>
      </c>
      <c r="G896">
        <v>0.01</v>
      </c>
      <c r="H896" t="s">
        <v>11</v>
      </c>
    </row>
    <row r="897" spans="1:8" x14ac:dyDescent="0.25">
      <c r="A897" t="str">
        <f t="shared" si="13"/>
        <v>31-Jul-18</v>
      </c>
      <c r="B897" t="s">
        <v>7</v>
      </c>
      <c r="C897" t="s">
        <v>8</v>
      </c>
      <c r="D897" t="str">
        <f>"6171494"</f>
        <v>6171494</v>
      </c>
      <c r="E897" t="s">
        <v>913</v>
      </c>
      <c r="F897" t="s">
        <v>615</v>
      </c>
      <c r="G897">
        <v>8.9999999999999993E-3</v>
      </c>
      <c r="H897" t="s">
        <v>11</v>
      </c>
    </row>
    <row r="898" spans="1:8" x14ac:dyDescent="0.25">
      <c r="A898" t="str">
        <f t="shared" ref="A898:A961" si="14">"31-Jul-18"</f>
        <v>31-Jul-18</v>
      </c>
      <c r="B898" t="s">
        <v>7</v>
      </c>
      <c r="C898" t="s">
        <v>8</v>
      </c>
      <c r="D898" t="str">
        <f>"6911485"</f>
        <v>6911485</v>
      </c>
      <c r="E898" t="s">
        <v>914</v>
      </c>
      <c r="F898" t="s">
        <v>615</v>
      </c>
      <c r="G898">
        <v>2.5999999999999999E-2</v>
      </c>
      <c r="H898" t="s">
        <v>11</v>
      </c>
    </row>
    <row r="899" spans="1:8" x14ac:dyDescent="0.25">
      <c r="A899" t="str">
        <f t="shared" si="14"/>
        <v>31-Jul-18</v>
      </c>
      <c r="B899" t="s">
        <v>7</v>
      </c>
      <c r="C899" t="s">
        <v>8</v>
      </c>
      <c r="D899" t="str">
        <f>"6723839"</f>
        <v>6723839</v>
      </c>
      <c r="E899" t="s">
        <v>915</v>
      </c>
      <c r="F899" t="s">
        <v>615</v>
      </c>
      <c r="G899">
        <v>4.0000000000000001E-3</v>
      </c>
      <c r="H899" t="s">
        <v>11</v>
      </c>
    </row>
    <row r="900" spans="1:8" x14ac:dyDescent="0.25">
      <c r="A900" t="str">
        <f t="shared" si="14"/>
        <v>31-Jul-18</v>
      </c>
      <c r="B900" t="s">
        <v>7</v>
      </c>
      <c r="C900" t="s">
        <v>8</v>
      </c>
      <c r="D900" t="str">
        <f>"6957995"</f>
        <v>6957995</v>
      </c>
      <c r="E900" t="s">
        <v>916</v>
      </c>
      <c r="F900" t="s">
        <v>615</v>
      </c>
      <c r="G900">
        <v>2.4E-2</v>
      </c>
      <c r="H900" t="s">
        <v>11</v>
      </c>
    </row>
    <row r="901" spans="1:8" x14ac:dyDescent="0.25">
      <c r="A901" t="str">
        <f t="shared" si="14"/>
        <v>31-Jul-18</v>
      </c>
      <c r="B901" t="s">
        <v>7</v>
      </c>
      <c r="C901" t="s">
        <v>8</v>
      </c>
      <c r="D901" t="str">
        <f>"6084848"</f>
        <v>6084848</v>
      </c>
      <c r="E901" t="s">
        <v>917</v>
      </c>
      <c r="F901" t="s">
        <v>615</v>
      </c>
      <c r="G901">
        <v>1.2999999999999999E-2</v>
      </c>
      <c r="H901" t="s">
        <v>11</v>
      </c>
    </row>
    <row r="902" spans="1:8" x14ac:dyDescent="0.25">
      <c r="A902" t="str">
        <f t="shared" si="14"/>
        <v>31-Jul-18</v>
      </c>
      <c r="B902" t="s">
        <v>7</v>
      </c>
      <c r="C902" t="s">
        <v>8</v>
      </c>
      <c r="D902" t="str">
        <f>"6985112"</f>
        <v>6985112</v>
      </c>
      <c r="E902" t="s">
        <v>918</v>
      </c>
      <c r="F902" t="s">
        <v>615</v>
      </c>
      <c r="G902">
        <v>1.4999999999999999E-2</v>
      </c>
      <c r="H902" t="s">
        <v>11</v>
      </c>
    </row>
    <row r="903" spans="1:8" x14ac:dyDescent="0.25">
      <c r="A903" t="str">
        <f t="shared" si="14"/>
        <v>31-Jul-18</v>
      </c>
      <c r="B903" t="s">
        <v>7</v>
      </c>
      <c r="C903" t="s">
        <v>8</v>
      </c>
      <c r="D903" t="str">
        <f>"6985026"</f>
        <v>6985026</v>
      </c>
      <c r="E903" t="s">
        <v>919</v>
      </c>
      <c r="F903" t="s">
        <v>615</v>
      </c>
      <c r="G903">
        <v>6.0000000000000001E-3</v>
      </c>
      <c r="H903" t="s">
        <v>11</v>
      </c>
    </row>
    <row r="904" spans="1:8" x14ac:dyDescent="0.25">
      <c r="A904" t="str">
        <f t="shared" si="14"/>
        <v>31-Jul-18</v>
      </c>
      <c r="B904" t="s">
        <v>7</v>
      </c>
      <c r="C904" t="s">
        <v>8</v>
      </c>
      <c r="D904" t="str">
        <f>"B1DGKS9"</f>
        <v>B1DGKS9</v>
      </c>
      <c r="E904" t="s">
        <v>920</v>
      </c>
      <c r="F904" t="s">
        <v>615</v>
      </c>
      <c r="G904">
        <v>5.0000000000000001E-3</v>
      </c>
      <c r="H904" t="s">
        <v>11</v>
      </c>
    </row>
    <row r="905" spans="1:8" x14ac:dyDescent="0.25">
      <c r="A905" t="str">
        <f t="shared" si="14"/>
        <v>31-Jul-18</v>
      </c>
      <c r="B905" t="s">
        <v>7</v>
      </c>
      <c r="C905" t="s">
        <v>8</v>
      </c>
      <c r="D905" t="str">
        <f>"6642387"</f>
        <v>6642387</v>
      </c>
      <c r="E905" t="s">
        <v>921</v>
      </c>
      <c r="F905" t="s">
        <v>615</v>
      </c>
      <c r="G905">
        <v>2.1999999999999999E-2</v>
      </c>
      <c r="H905" t="s">
        <v>11</v>
      </c>
    </row>
    <row r="906" spans="1:8" x14ac:dyDescent="0.25">
      <c r="A906" t="str">
        <f t="shared" si="14"/>
        <v>31-Jul-18</v>
      </c>
      <c r="B906" t="s">
        <v>7</v>
      </c>
      <c r="C906" t="s">
        <v>8</v>
      </c>
      <c r="D906" t="str">
        <f>"6985264"</f>
        <v>6985264</v>
      </c>
      <c r="E906" t="s">
        <v>922</v>
      </c>
      <c r="F906" t="s">
        <v>615</v>
      </c>
      <c r="G906">
        <v>1.6E-2</v>
      </c>
      <c r="H906" t="s">
        <v>11</v>
      </c>
    </row>
    <row r="907" spans="1:8" x14ac:dyDescent="0.25">
      <c r="A907" t="str">
        <f t="shared" si="14"/>
        <v>31-Jul-18</v>
      </c>
      <c r="B907" t="s">
        <v>7</v>
      </c>
      <c r="C907" t="s">
        <v>8</v>
      </c>
      <c r="D907" t="str">
        <f>"6985565"</f>
        <v>6985565</v>
      </c>
      <c r="E907" t="s">
        <v>923</v>
      </c>
      <c r="F907" t="s">
        <v>615</v>
      </c>
      <c r="G907">
        <v>2.1000000000000001E-2</v>
      </c>
      <c r="H907" t="s">
        <v>11</v>
      </c>
    </row>
    <row r="908" spans="1:8" x14ac:dyDescent="0.25">
      <c r="A908" t="str">
        <f t="shared" si="14"/>
        <v>31-Jul-18</v>
      </c>
      <c r="B908" t="s">
        <v>7</v>
      </c>
      <c r="C908" t="s">
        <v>8</v>
      </c>
      <c r="D908" t="str">
        <f>"6985509"</f>
        <v>6985509</v>
      </c>
      <c r="E908" t="s">
        <v>924</v>
      </c>
      <c r="F908" t="s">
        <v>615</v>
      </c>
      <c r="G908">
        <v>6.0000000000000001E-3</v>
      </c>
      <c r="H908" t="s">
        <v>11</v>
      </c>
    </row>
    <row r="909" spans="1:8" x14ac:dyDescent="0.25">
      <c r="A909" t="str">
        <f t="shared" si="14"/>
        <v>31-Jul-18</v>
      </c>
      <c r="B909" t="s">
        <v>7</v>
      </c>
      <c r="C909" t="s">
        <v>8</v>
      </c>
      <c r="D909" t="str">
        <f>"6986041"</f>
        <v>6986041</v>
      </c>
      <c r="E909" t="s">
        <v>925</v>
      </c>
      <c r="F909" t="s">
        <v>615</v>
      </c>
      <c r="G909">
        <v>3.3000000000000002E-2</v>
      </c>
      <c r="H909" t="s">
        <v>11</v>
      </c>
    </row>
    <row r="910" spans="1:8" x14ac:dyDescent="0.25">
      <c r="A910" t="str">
        <f t="shared" si="14"/>
        <v>31-Jul-18</v>
      </c>
      <c r="B910" t="s">
        <v>7</v>
      </c>
      <c r="C910" t="s">
        <v>8</v>
      </c>
      <c r="D910" t="str">
        <f>"6986427"</f>
        <v>6986427</v>
      </c>
      <c r="E910" t="s">
        <v>926</v>
      </c>
      <c r="F910" t="s">
        <v>615</v>
      </c>
      <c r="G910">
        <v>1.4E-2</v>
      </c>
      <c r="H910" t="s">
        <v>11</v>
      </c>
    </row>
    <row r="911" spans="1:8" x14ac:dyDescent="0.25">
      <c r="A911" t="str">
        <f t="shared" si="14"/>
        <v>31-Jul-18</v>
      </c>
      <c r="B911" t="s">
        <v>7</v>
      </c>
      <c r="C911" t="s">
        <v>8</v>
      </c>
      <c r="D911" t="str">
        <f>"6986461"</f>
        <v>6986461</v>
      </c>
      <c r="E911" t="s">
        <v>927</v>
      </c>
      <c r="F911" t="s">
        <v>615</v>
      </c>
      <c r="G911">
        <v>3.0000000000000001E-3</v>
      </c>
      <c r="H911" t="s">
        <v>11</v>
      </c>
    </row>
    <row r="912" spans="1:8" x14ac:dyDescent="0.25">
      <c r="A912" t="str">
        <f t="shared" si="14"/>
        <v>31-Jul-18</v>
      </c>
      <c r="B912" t="s">
        <v>7</v>
      </c>
      <c r="C912" t="s">
        <v>75</v>
      </c>
      <c r="F912" t="s">
        <v>615</v>
      </c>
      <c r="G912">
        <v>5.0000000000000001E-3</v>
      </c>
      <c r="H912" t="s">
        <v>928</v>
      </c>
    </row>
    <row r="913" spans="1:8" x14ac:dyDescent="0.25">
      <c r="A913" t="str">
        <f t="shared" si="14"/>
        <v>31-Jul-18</v>
      </c>
      <c r="B913" t="s">
        <v>7</v>
      </c>
      <c r="C913" t="s">
        <v>8</v>
      </c>
      <c r="D913" t="str">
        <f>"B1L95G3"</f>
        <v>B1L95G3</v>
      </c>
      <c r="E913" t="s">
        <v>929</v>
      </c>
      <c r="F913" t="s">
        <v>930</v>
      </c>
      <c r="G913">
        <v>0.01</v>
      </c>
      <c r="H913" t="s">
        <v>11</v>
      </c>
    </row>
    <row r="914" spans="1:8" x14ac:dyDescent="0.25">
      <c r="A914" t="str">
        <f t="shared" si="14"/>
        <v>31-Jul-18</v>
      </c>
      <c r="B914" t="s">
        <v>7</v>
      </c>
      <c r="C914" t="s">
        <v>8</v>
      </c>
      <c r="D914" t="str">
        <f>"4263304"</f>
        <v>4263304</v>
      </c>
      <c r="E914" t="s">
        <v>931</v>
      </c>
      <c r="F914" t="s">
        <v>930</v>
      </c>
      <c r="G914">
        <v>0.04</v>
      </c>
      <c r="H914" t="s">
        <v>11</v>
      </c>
    </row>
    <row r="915" spans="1:8" x14ac:dyDescent="0.25">
      <c r="A915" t="str">
        <f t="shared" si="14"/>
        <v>31-Jul-18</v>
      </c>
      <c r="B915" t="s">
        <v>7</v>
      </c>
      <c r="C915" t="s">
        <v>8</v>
      </c>
      <c r="D915" t="str">
        <f>"7133608"</f>
        <v>7133608</v>
      </c>
      <c r="E915" t="s">
        <v>932</v>
      </c>
      <c r="F915" t="s">
        <v>930</v>
      </c>
      <c r="G915">
        <v>0.13800000000000001</v>
      </c>
      <c r="H915" t="s">
        <v>11</v>
      </c>
    </row>
    <row r="916" spans="1:8" x14ac:dyDescent="0.25">
      <c r="A916" t="str">
        <f t="shared" si="14"/>
        <v>31-Jul-18</v>
      </c>
      <c r="B916" t="s">
        <v>7</v>
      </c>
      <c r="C916" t="s">
        <v>8</v>
      </c>
      <c r="D916" t="str">
        <f>"B4PH0C5"</f>
        <v>B4PH0C5</v>
      </c>
      <c r="E916" t="s">
        <v>933</v>
      </c>
      <c r="F916" t="s">
        <v>930</v>
      </c>
      <c r="G916">
        <v>6.0000000000000001E-3</v>
      </c>
      <c r="H916" t="s">
        <v>11</v>
      </c>
    </row>
    <row r="917" spans="1:8" x14ac:dyDescent="0.25">
      <c r="A917" t="str">
        <f t="shared" si="14"/>
        <v>31-Jul-18</v>
      </c>
      <c r="B917" t="s">
        <v>7</v>
      </c>
      <c r="C917" t="s">
        <v>8</v>
      </c>
      <c r="D917" t="str">
        <f>"B02L486"</f>
        <v>B02L486</v>
      </c>
      <c r="E917" t="s">
        <v>934</v>
      </c>
      <c r="F917" t="s">
        <v>930</v>
      </c>
      <c r="G917">
        <v>1.9E-2</v>
      </c>
      <c r="H917" t="s">
        <v>11</v>
      </c>
    </row>
    <row r="918" spans="1:8" x14ac:dyDescent="0.25">
      <c r="A918" t="str">
        <f t="shared" si="14"/>
        <v>31-Jul-18</v>
      </c>
      <c r="B918" t="s">
        <v>7</v>
      </c>
      <c r="C918" t="s">
        <v>8</v>
      </c>
      <c r="D918" t="str">
        <f>"B11HK39"</f>
        <v>B11HK39</v>
      </c>
      <c r="E918" t="s">
        <v>935</v>
      </c>
      <c r="F918" t="s">
        <v>930</v>
      </c>
      <c r="G918">
        <v>3.2000000000000001E-2</v>
      </c>
      <c r="H918" t="s">
        <v>11</v>
      </c>
    </row>
    <row r="919" spans="1:8" x14ac:dyDescent="0.25">
      <c r="A919" t="str">
        <f t="shared" si="14"/>
        <v>31-Jul-18</v>
      </c>
      <c r="B919" t="s">
        <v>7</v>
      </c>
      <c r="C919" t="s">
        <v>8</v>
      </c>
      <c r="D919" t="str">
        <f>"B1VQF42"</f>
        <v>B1VQF42</v>
      </c>
      <c r="E919" t="s">
        <v>936</v>
      </c>
      <c r="F919" t="s">
        <v>930</v>
      </c>
      <c r="G919">
        <v>2.8000000000000001E-2</v>
      </c>
      <c r="H919" t="s">
        <v>11</v>
      </c>
    </row>
    <row r="920" spans="1:8" x14ac:dyDescent="0.25">
      <c r="A920" t="str">
        <f t="shared" si="14"/>
        <v>31-Jul-18</v>
      </c>
      <c r="B920" t="s">
        <v>7</v>
      </c>
      <c r="C920" t="s">
        <v>8</v>
      </c>
      <c r="D920" t="str">
        <f>"BWVFKQ3"</f>
        <v>BWVFKQ3</v>
      </c>
      <c r="E920" t="s">
        <v>937</v>
      </c>
      <c r="F920" t="s">
        <v>930</v>
      </c>
      <c r="G920">
        <v>3.0000000000000001E-3</v>
      </c>
      <c r="H920" t="s">
        <v>11</v>
      </c>
    </row>
    <row r="921" spans="1:8" x14ac:dyDescent="0.25">
      <c r="A921" t="str">
        <f t="shared" si="14"/>
        <v>31-Jul-18</v>
      </c>
      <c r="B921" t="s">
        <v>7</v>
      </c>
      <c r="C921" t="s">
        <v>8</v>
      </c>
      <c r="D921" t="str">
        <f>"4732495"</f>
        <v>4732495</v>
      </c>
      <c r="E921" t="s">
        <v>938</v>
      </c>
      <c r="F921" t="s">
        <v>930</v>
      </c>
      <c r="G921">
        <v>6.3E-2</v>
      </c>
      <c r="H921" t="s">
        <v>11</v>
      </c>
    </row>
    <row r="922" spans="1:8" x14ac:dyDescent="0.25">
      <c r="A922" t="str">
        <f t="shared" si="14"/>
        <v>31-Jul-18</v>
      </c>
      <c r="B922" t="s">
        <v>7</v>
      </c>
      <c r="C922" t="s">
        <v>8</v>
      </c>
      <c r="D922" t="str">
        <f>"7751259"</f>
        <v>7751259</v>
      </c>
      <c r="E922" t="s">
        <v>939</v>
      </c>
      <c r="F922" t="s">
        <v>930</v>
      </c>
      <c r="G922">
        <v>1.7000000000000001E-2</v>
      </c>
      <c r="H922" t="s">
        <v>11</v>
      </c>
    </row>
    <row r="923" spans="1:8" x14ac:dyDescent="0.25">
      <c r="A923" t="str">
        <f t="shared" si="14"/>
        <v>31-Jul-18</v>
      </c>
      <c r="B923" t="s">
        <v>7</v>
      </c>
      <c r="C923" t="s">
        <v>75</v>
      </c>
      <c r="F923" t="s">
        <v>930</v>
      </c>
      <c r="G923">
        <v>7.0000000000000001E-3</v>
      </c>
      <c r="H923" t="s">
        <v>940</v>
      </c>
    </row>
    <row r="924" spans="1:8" x14ac:dyDescent="0.25">
      <c r="A924" t="str">
        <f t="shared" si="14"/>
        <v>31-Jul-18</v>
      </c>
      <c r="B924" t="s">
        <v>7</v>
      </c>
      <c r="C924" t="s">
        <v>8</v>
      </c>
      <c r="D924" t="str">
        <f>"BKX3XG2"</f>
        <v>BKX3XG2</v>
      </c>
      <c r="E924" t="s">
        <v>941</v>
      </c>
      <c r="F924" t="s">
        <v>942</v>
      </c>
      <c r="G924">
        <v>1.6E-2</v>
      </c>
      <c r="H924" t="s">
        <v>11</v>
      </c>
    </row>
    <row r="925" spans="1:8" x14ac:dyDescent="0.25">
      <c r="A925" t="str">
        <f t="shared" si="14"/>
        <v>31-Jul-18</v>
      </c>
      <c r="B925" t="s">
        <v>7</v>
      </c>
      <c r="C925" t="s">
        <v>8</v>
      </c>
      <c r="D925" t="str">
        <f>"6340250"</f>
        <v>6340250</v>
      </c>
      <c r="E925" t="s">
        <v>943</v>
      </c>
      <c r="F925" t="s">
        <v>942</v>
      </c>
      <c r="G925">
        <v>1.2E-2</v>
      </c>
      <c r="H925" t="s">
        <v>11</v>
      </c>
    </row>
    <row r="926" spans="1:8" x14ac:dyDescent="0.25">
      <c r="A926" t="str">
        <f t="shared" si="14"/>
        <v>31-Jul-18</v>
      </c>
      <c r="B926" t="s">
        <v>7</v>
      </c>
      <c r="C926" t="s">
        <v>8</v>
      </c>
      <c r="D926" t="str">
        <f>"6341606"</f>
        <v>6341606</v>
      </c>
      <c r="E926" t="s">
        <v>944</v>
      </c>
      <c r="F926" t="s">
        <v>942</v>
      </c>
      <c r="G926">
        <v>1.6E-2</v>
      </c>
      <c r="H926" t="s">
        <v>11</v>
      </c>
    </row>
    <row r="927" spans="1:8" x14ac:dyDescent="0.25">
      <c r="A927" t="str">
        <f t="shared" si="14"/>
        <v>31-Jul-18</v>
      </c>
      <c r="B927" t="s">
        <v>7</v>
      </c>
      <c r="C927" t="s">
        <v>8</v>
      </c>
      <c r="D927" t="str">
        <f>"BWFD052"</f>
        <v>BWFD052</v>
      </c>
      <c r="E927" t="s">
        <v>945</v>
      </c>
      <c r="F927" t="s">
        <v>942</v>
      </c>
      <c r="G927">
        <v>6.0000000000000001E-3</v>
      </c>
      <c r="H927" t="s">
        <v>11</v>
      </c>
    </row>
    <row r="928" spans="1:8" x14ac:dyDescent="0.25">
      <c r="A928" t="str">
        <f t="shared" si="14"/>
        <v>31-Jul-18</v>
      </c>
      <c r="B928" t="s">
        <v>7</v>
      </c>
      <c r="C928" t="s">
        <v>8</v>
      </c>
      <c r="D928" t="str">
        <f>"6161525"</f>
        <v>6161525</v>
      </c>
      <c r="E928" t="s">
        <v>946</v>
      </c>
      <c r="F928" t="s">
        <v>942</v>
      </c>
      <c r="G928">
        <v>1.4999999999999999E-2</v>
      </c>
      <c r="H928" t="s">
        <v>11</v>
      </c>
    </row>
    <row r="929" spans="1:8" x14ac:dyDescent="0.25">
      <c r="A929" t="str">
        <f t="shared" si="14"/>
        <v>31-Jul-18</v>
      </c>
      <c r="B929" t="s">
        <v>7</v>
      </c>
      <c r="C929" t="s">
        <v>8</v>
      </c>
      <c r="D929" t="str">
        <f>"6881436"</f>
        <v>6881436</v>
      </c>
      <c r="E929" t="s">
        <v>947</v>
      </c>
      <c r="F929" t="s">
        <v>942</v>
      </c>
      <c r="G929">
        <v>1.7000000000000001E-2</v>
      </c>
      <c r="H929" t="s">
        <v>11</v>
      </c>
    </row>
    <row r="930" spans="1:8" x14ac:dyDescent="0.25">
      <c r="A930" t="str">
        <f t="shared" si="14"/>
        <v>31-Jul-18</v>
      </c>
      <c r="B930" t="s">
        <v>7</v>
      </c>
      <c r="C930" t="s">
        <v>8</v>
      </c>
      <c r="D930" t="str">
        <f>"6287250"</f>
        <v>6287250</v>
      </c>
      <c r="E930" t="s">
        <v>948</v>
      </c>
      <c r="F930" t="s">
        <v>942</v>
      </c>
      <c r="G930">
        <v>8.9999999999999993E-3</v>
      </c>
      <c r="H930" t="s">
        <v>11</v>
      </c>
    </row>
    <row r="931" spans="1:8" x14ac:dyDescent="0.25">
      <c r="A931" t="str">
        <f t="shared" si="14"/>
        <v>31-Jul-18</v>
      </c>
      <c r="B931" t="s">
        <v>7</v>
      </c>
      <c r="C931" t="s">
        <v>75</v>
      </c>
      <c r="F931" t="s">
        <v>942</v>
      </c>
      <c r="G931">
        <v>5.0000000000000001E-3</v>
      </c>
      <c r="H931" t="s">
        <v>949</v>
      </c>
    </row>
    <row r="932" spans="1:8" x14ac:dyDescent="0.25">
      <c r="A932" t="str">
        <f t="shared" si="14"/>
        <v>31-Jul-18</v>
      </c>
      <c r="B932" t="s">
        <v>7</v>
      </c>
      <c r="C932" t="s">
        <v>8</v>
      </c>
      <c r="D932" t="str">
        <f>"7332687"</f>
        <v>7332687</v>
      </c>
      <c r="E932" t="s">
        <v>950</v>
      </c>
      <c r="F932" t="s">
        <v>951</v>
      </c>
      <c r="G932">
        <v>0.04</v>
      </c>
      <c r="H932" t="s">
        <v>11</v>
      </c>
    </row>
    <row r="933" spans="1:8" x14ac:dyDescent="0.25">
      <c r="A933" t="str">
        <f t="shared" si="14"/>
        <v>31-Jul-18</v>
      </c>
      <c r="B933" t="s">
        <v>7</v>
      </c>
      <c r="C933" t="s">
        <v>8</v>
      </c>
      <c r="D933" t="str">
        <f>"BYPC1T4"</f>
        <v>BYPC1T4</v>
      </c>
      <c r="E933" t="s">
        <v>952</v>
      </c>
      <c r="F933" t="s">
        <v>951</v>
      </c>
      <c r="G933">
        <v>8.5000000000000006E-2</v>
      </c>
      <c r="H933" t="s">
        <v>11</v>
      </c>
    </row>
    <row r="934" spans="1:8" x14ac:dyDescent="0.25">
      <c r="A934" t="str">
        <f t="shared" si="14"/>
        <v>31-Jul-18</v>
      </c>
      <c r="B934" t="s">
        <v>7</v>
      </c>
      <c r="C934" t="s">
        <v>8</v>
      </c>
      <c r="D934" t="str">
        <f>"BD97BS7"</f>
        <v>BD97BS7</v>
      </c>
      <c r="E934" t="s">
        <v>953</v>
      </c>
      <c r="F934" t="s">
        <v>951</v>
      </c>
      <c r="G934">
        <v>3.9E-2</v>
      </c>
      <c r="H934" t="s">
        <v>11</v>
      </c>
    </row>
    <row r="935" spans="1:8" x14ac:dyDescent="0.25">
      <c r="A935" t="str">
        <f t="shared" si="14"/>
        <v>31-Jul-18</v>
      </c>
      <c r="B935" t="s">
        <v>7</v>
      </c>
      <c r="C935" t="s">
        <v>8</v>
      </c>
      <c r="D935" t="str">
        <f>"BD97BN2"</f>
        <v>BD97BN2</v>
      </c>
      <c r="E935" t="s">
        <v>954</v>
      </c>
      <c r="F935" t="s">
        <v>951</v>
      </c>
      <c r="G935">
        <v>9.0999999999999998E-2</v>
      </c>
      <c r="H935" t="s">
        <v>11</v>
      </c>
    </row>
    <row r="936" spans="1:8" x14ac:dyDescent="0.25">
      <c r="A936" t="str">
        <f t="shared" si="14"/>
        <v>31-Jul-18</v>
      </c>
      <c r="B936" t="s">
        <v>7</v>
      </c>
      <c r="C936" t="s">
        <v>8</v>
      </c>
      <c r="D936" t="str">
        <f>"BDFD9D0"</f>
        <v>BDFD9D0</v>
      </c>
      <c r="E936" t="s">
        <v>955</v>
      </c>
      <c r="F936" t="s">
        <v>951</v>
      </c>
      <c r="G936">
        <v>3.6999999999999998E-2</v>
      </c>
      <c r="H936" t="s">
        <v>11</v>
      </c>
    </row>
    <row r="937" spans="1:8" x14ac:dyDescent="0.25">
      <c r="A937" t="str">
        <f t="shared" si="14"/>
        <v>31-Jul-18</v>
      </c>
      <c r="B937" t="s">
        <v>7</v>
      </c>
      <c r="C937" t="s">
        <v>8</v>
      </c>
      <c r="D937" t="str">
        <f>"B1KKBX6"</f>
        <v>B1KKBX6</v>
      </c>
      <c r="E937" t="s">
        <v>956</v>
      </c>
      <c r="F937" t="s">
        <v>951</v>
      </c>
      <c r="G937">
        <v>0.01</v>
      </c>
      <c r="H937" t="s">
        <v>11</v>
      </c>
    </row>
    <row r="938" spans="1:8" x14ac:dyDescent="0.25">
      <c r="A938" t="str">
        <f t="shared" si="14"/>
        <v>31-Jul-18</v>
      </c>
      <c r="B938" t="s">
        <v>7</v>
      </c>
      <c r="C938" t="s">
        <v>8</v>
      </c>
      <c r="D938" t="str">
        <f>"BDZV116"</f>
        <v>BDZV116</v>
      </c>
      <c r="E938" t="s">
        <v>957</v>
      </c>
      <c r="F938" t="s">
        <v>951</v>
      </c>
      <c r="G938">
        <v>3.7999999999999999E-2</v>
      </c>
      <c r="H938" t="s">
        <v>11</v>
      </c>
    </row>
    <row r="939" spans="1:8" x14ac:dyDescent="0.25">
      <c r="A939" t="str">
        <f t="shared" si="14"/>
        <v>31-Jul-18</v>
      </c>
      <c r="B939" t="s">
        <v>7</v>
      </c>
      <c r="C939" t="s">
        <v>8</v>
      </c>
      <c r="D939" t="str">
        <f>"BDZV127"</f>
        <v>BDZV127</v>
      </c>
      <c r="E939" t="s">
        <v>957</v>
      </c>
      <c r="F939" t="s">
        <v>951</v>
      </c>
      <c r="G939">
        <v>1.6E-2</v>
      </c>
      <c r="H939" t="s">
        <v>11</v>
      </c>
    </row>
    <row r="940" spans="1:8" x14ac:dyDescent="0.25">
      <c r="A940" t="str">
        <f t="shared" si="14"/>
        <v>31-Jul-18</v>
      </c>
      <c r="B940" t="s">
        <v>7</v>
      </c>
      <c r="C940" t="s">
        <v>8</v>
      </c>
      <c r="D940" t="str">
        <f>"BF1K7P7"</f>
        <v>BF1K7P7</v>
      </c>
      <c r="E940" t="s">
        <v>958</v>
      </c>
      <c r="F940" t="s">
        <v>951</v>
      </c>
      <c r="G940">
        <v>6.2E-2</v>
      </c>
      <c r="H940" t="s">
        <v>11</v>
      </c>
    </row>
    <row r="941" spans="1:8" x14ac:dyDescent="0.25">
      <c r="A941" t="str">
        <f t="shared" si="14"/>
        <v>31-Jul-18</v>
      </c>
      <c r="B941" t="s">
        <v>7</v>
      </c>
      <c r="C941" t="s">
        <v>8</v>
      </c>
      <c r="D941" t="str">
        <f>"5687431"</f>
        <v>5687431</v>
      </c>
      <c r="E941" t="s">
        <v>959</v>
      </c>
      <c r="F941" t="s">
        <v>951</v>
      </c>
      <c r="G941">
        <v>5.6000000000000001E-2</v>
      </c>
      <c r="H941" t="s">
        <v>11</v>
      </c>
    </row>
    <row r="942" spans="1:8" x14ac:dyDescent="0.25">
      <c r="A942" t="str">
        <f t="shared" si="14"/>
        <v>31-Jul-18</v>
      </c>
      <c r="B942" t="s">
        <v>7</v>
      </c>
      <c r="C942" t="s">
        <v>8</v>
      </c>
      <c r="D942" t="str">
        <f>"B1XFTL2"</f>
        <v>B1XFTL2</v>
      </c>
      <c r="E942" t="s">
        <v>960</v>
      </c>
      <c r="F942" t="s">
        <v>951</v>
      </c>
      <c r="G942">
        <v>0.03</v>
      </c>
      <c r="H942" t="s">
        <v>11</v>
      </c>
    </row>
    <row r="943" spans="1:8" x14ac:dyDescent="0.25">
      <c r="A943" t="str">
        <f t="shared" si="14"/>
        <v>31-Jul-18</v>
      </c>
      <c r="B943" t="s">
        <v>7</v>
      </c>
      <c r="C943" t="s">
        <v>8</v>
      </c>
      <c r="D943" t="str">
        <f>"B12PJ24"</f>
        <v>B12PJ24</v>
      </c>
      <c r="E943" t="s">
        <v>961</v>
      </c>
      <c r="F943" t="s">
        <v>951</v>
      </c>
      <c r="G943">
        <v>8.9999999999999993E-3</v>
      </c>
      <c r="H943" t="s">
        <v>11</v>
      </c>
    </row>
    <row r="944" spans="1:8" x14ac:dyDescent="0.25">
      <c r="A944" t="str">
        <f t="shared" si="14"/>
        <v>31-Jul-18</v>
      </c>
      <c r="B944" t="s">
        <v>7</v>
      </c>
      <c r="C944" t="s">
        <v>8</v>
      </c>
      <c r="D944" t="str">
        <f>"B0S1651"</f>
        <v>B0S1651</v>
      </c>
      <c r="E944" t="s">
        <v>962</v>
      </c>
      <c r="F944" t="s">
        <v>951</v>
      </c>
      <c r="G944">
        <v>1.0999999999999999E-2</v>
      </c>
      <c r="H944" t="s">
        <v>11</v>
      </c>
    </row>
    <row r="945" spans="1:8" x14ac:dyDescent="0.25">
      <c r="A945" t="str">
        <f t="shared" si="14"/>
        <v>31-Jul-18</v>
      </c>
      <c r="B945" t="s">
        <v>7</v>
      </c>
      <c r="C945" t="s">
        <v>8</v>
      </c>
      <c r="D945" t="str">
        <f>"B1VSK54"</f>
        <v>B1VSK54</v>
      </c>
      <c r="E945" t="s">
        <v>963</v>
      </c>
      <c r="F945" t="s">
        <v>951</v>
      </c>
      <c r="G945">
        <v>6.0000000000000001E-3</v>
      </c>
      <c r="H945" t="s">
        <v>11</v>
      </c>
    </row>
    <row r="946" spans="1:8" x14ac:dyDescent="0.25">
      <c r="A946" t="str">
        <f t="shared" si="14"/>
        <v>31-Jul-18</v>
      </c>
      <c r="B946" t="s">
        <v>7</v>
      </c>
      <c r="C946" t="s">
        <v>8</v>
      </c>
      <c r="D946" t="str">
        <f>"5679591"</f>
        <v>5679591</v>
      </c>
      <c r="E946" t="s">
        <v>964</v>
      </c>
      <c r="F946" t="s">
        <v>951</v>
      </c>
      <c r="G946">
        <v>4.7E-2</v>
      </c>
      <c r="H946" t="s">
        <v>11</v>
      </c>
    </row>
    <row r="947" spans="1:8" x14ac:dyDescent="0.25">
      <c r="A947" t="str">
        <f t="shared" si="14"/>
        <v>31-Jul-18</v>
      </c>
      <c r="B947" t="s">
        <v>7</v>
      </c>
      <c r="C947" t="s">
        <v>8</v>
      </c>
      <c r="D947" t="str">
        <f>"BD6S7G3"</f>
        <v>BD6S7G3</v>
      </c>
      <c r="E947" t="s">
        <v>965</v>
      </c>
      <c r="F947" t="s">
        <v>951</v>
      </c>
      <c r="G947">
        <v>3.3000000000000002E-2</v>
      </c>
      <c r="H947" t="s">
        <v>11</v>
      </c>
    </row>
    <row r="948" spans="1:8" x14ac:dyDescent="0.25">
      <c r="A948" t="str">
        <f t="shared" si="14"/>
        <v>31-Jul-18</v>
      </c>
      <c r="B948" t="s">
        <v>7</v>
      </c>
      <c r="C948" t="s">
        <v>8</v>
      </c>
      <c r="D948" t="str">
        <f>"4538002"</f>
        <v>4538002</v>
      </c>
      <c r="E948" t="s">
        <v>966</v>
      </c>
      <c r="F948" t="s">
        <v>951</v>
      </c>
      <c r="G948">
        <v>1E-3</v>
      </c>
      <c r="H948" t="s">
        <v>11</v>
      </c>
    </row>
    <row r="949" spans="1:8" x14ac:dyDescent="0.25">
      <c r="A949" t="str">
        <f t="shared" si="14"/>
        <v>31-Jul-18</v>
      </c>
      <c r="B949" t="s">
        <v>7</v>
      </c>
      <c r="C949" t="s">
        <v>8</v>
      </c>
      <c r="D949" t="str">
        <f>"7187627"</f>
        <v>7187627</v>
      </c>
      <c r="E949" t="s">
        <v>967</v>
      </c>
      <c r="F949" t="s">
        <v>951</v>
      </c>
      <c r="G949">
        <v>2.7E-2</v>
      </c>
      <c r="H949" t="s">
        <v>11</v>
      </c>
    </row>
    <row r="950" spans="1:8" x14ac:dyDescent="0.25">
      <c r="A950" t="str">
        <f t="shared" si="14"/>
        <v>31-Jul-18</v>
      </c>
      <c r="B950" t="s">
        <v>7</v>
      </c>
      <c r="C950" t="s">
        <v>8</v>
      </c>
      <c r="D950" t="str">
        <f>"B00L2M8"</f>
        <v>B00L2M8</v>
      </c>
      <c r="E950" t="s">
        <v>968</v>
      </c>
      <c r="F950" t="s">
        <v>951</v>
      </c>
      <c r="G950">
        <v>8.9999999999999993E-3</v>
      </c>
      <c r="H950" t="s">
        <v>11</v>
      </c>
    </row>
    <row r="951" spans="1:8" x14ac:dyDescent="0.25">
      <c r="A951" t="str">
        <f t="shared" si="14"/>
        <v>31-Jul-18</v>
      </c>
      <c r="B951" t="s">
        <v>7</v>
      </c>
      <c r="C951" t="s">
        <v>8</v>
      </c>
      <c r="D951" t="str">
        <f>"5380031"</f>
        <v>5380031</v>
      </c>
      <c r="E951" t="s">
        <v>969</v>
      </c>
      <c r="F951" t="s">
        <v>951</v>
      </c>
      <c r="G951">
        <v>6.4000000000000001E-2</v>
      </c>
      <c r="H951" t="s">
        <v>11</v>
      </c>
    </row>
    <row r="952" spans="1:8" x14ac:dyDescent="0.25">
      <c r="A952" t="str">
        <f t="shared" si="14"/>
        <v>31-Jul-18</v>
      </c>
      <c r="B952" t="s">
        <v>7</v>
      </c>
      <c r="C952" t="s">
        <v>8</v>
      </c>
      <c r="D952" t="str">
        <f>"B1Q3J35"</f>
        <v>B1Q3J35</v>
      </c>
      <c r="E952" t="s">
        <v>970</v>
      </c>
      <c r="F952" t="s">
        <v>951</v>
      </c>
      <c r="G952">
        <v>3.6999999999999998E-2</v>
      </c>
      <c r="H952" t="s">
        <v>11</v>
      </c>
    </row>
    <row r="953" spans="1:8" x14ac:dyDescent="0.25">
      <c r="A953" t="str">
        <f t="shared" si="14"/>
        <v>31-Jul-18</v>
      </c>
      <c r="B953" t="s">
        <v>7</v>
      </c>
      <c r="C953" t="s">
        <v>8</v>
      </c>
      <c r="D953" t="str">
        <f>"B1VQ252"</f>
        <v>B1VQ252</v>
      </c>
      <c r="E953" t="s">
        <v>971</v>
      </c>
      <c r="F953" t="s">
        <v>951</v>
      </c>
      <c r="G953">
        <v>9.5000000000000001E-2</v>
      </c>
      <c r="H953" t="s">
        <v>11</v>
      </c>
    </row>
    <row r="954" spans="1:8" x14ac:dyDescent="0.25">
      <c r="A954" t="str">
        <f t="shared" si="14"/>
        <v>31-Jul-18</v>
      </c>
      <c r="B954" t="s">
        <v>7</v>
      </c>
      <c r="C954" t="s">
        <v>8</v>
      </c>
      <c r="D954" t="str">
        <f>"5554041"</f>
        <v>5554041</v>
      </c>
      <c r="E954" t="s">
        <v>972</v>
      </c>
      <c r="F954" t="s">
        <v>951</v>
      </c>
      <c r="G954">
        <v>7.0000000000000001E-3</v>
      </c>
      <c r="H954" t="s">
        <v>11</v>
      </c>
    </row>
    <row r="955" spans="1:8" x14ac:dyDescent="0.25">
      <c r="A955" t="str">
        <f t="shared" si="14"/>
        <v>31-Jul-18</v>
      </c>
      <c r="B955" t="s">
        <v>7</v>
      </c>
      <c r="C955" t="s">
        <v>8</v>
      </c>
      <c r="D955" t="str">
        <f>"4813345"</f>
        <v>4813345</v>
      </c>
      <c r="E955" t="s">
        <v>973</v>
      </c>
      <c r="F955" t="s">
        <v>951</v>
      </c>
      <c r="G955">
        <v>6.6000000000000003E-2</v>
      </c>
      <c r="H955" t="s">
        <v>11</v>
      </c>
    </row>
    <row r="956" spans="1:8" x14ac:dyDescent="0.25">
      <c r="A956" t="str">
        <f t="shared" si="14"/>
        <v>31-Jul-18</v>
      </c>
      <c r="B956" t="s">
        <v>7</v>
      </c>
      <c r="C956" t="s">
        <v>8</v>
      </c>
      <c r="D956" t="str">
        <f>"7142091"</f>
        <v>7142091</v>
      </c>
      <c r="E956" t="s">
        <v>974</v>
      </c>
      <c r="F956" t="s">
        <v>951</v>
      </c>
      <c r="G956">
        <v>2.9000000000000001E-2</v>
      </c>
      <c r="H956" t="s">
        <v>11</v>
      </c>
    </row>
    <row r="957" spans="1:8" x14ac:dyDescent="0.25">
      <c r="A957" t="str">
        <f t="shared" si="14"/>
        <v>31-Jul-18</v>
      </c>
      <c r="B957" t="s">
        <v>7</v>
      </c>
      <c r="C957" t="s">
        <v>8</v>
      </c>
      <c r="D957" t="str">
        <f>"BXDZ9Q1"</f>
        <v>BXDZ9Q1</v>
      </c>
      <c r="E957" t="s">
        <v>975</v>
      </c>
      <c r="F957" t="s">
        <v>951</v>
      </c>
      <c r="G957">
        <v>3.6999999999999998E-2</v>
      </c>
      <c r="H957" t="s">
        <v>11</v>
      </c>
    </row>
    <row r="958" spans="1:8" x14ac:dyDescent="0.25">
      <c r="A958" t="str">
        <f t="shared" si="14"/>
        <v>31-Jul-18</v>
      </c>
      <c r="B958" t="s">
        <v>7</v>
      </c>
      <c r="C958" t="s">
        <v>8</v>
      </c>
      <c r="D958" t="str">
        <f>"4846523"</f>
        <v>4846523</v>
      </c>
      <c r="E958" t="s">
        <v>976</v>
      </c>
      <c r="F958" t="s">
        <v>951</v>
      </c>
      <c r="G958">
        <v>8.6999999999999994E-2</v>
      </c>
      <c r="H958" t="s">
        <v>11</v>
      </c>
    </row>
    <row r="959" spans="1:8" x14ac:dyDescent="0.25">
      <c r="A959" t="str">
        <f t="shared" si="14"/>
        <v>31-Jul-18</v>
      </c>
      <c r="B959" t="s">
        <v>7</v>
      </c>
      <c r="C959" t="s">
        <v>8</v>
      </c>
      <c r="D959" t="str">
        <f>"5048566"</f>
        <v>5048566</v>
      </c>
      <c r="E959" t="s">
        <v>977</v>
      </c>
      <c r="F959" t="s">
        <v>951</v>
      </c>
      <c r="G959">
        <v>3.2000000000000001E-2</v>
      </c>
      <c r="H959" t="s">
        <v>11</v>
      </c>
    </row>
    <row r="960" spans="1:8" x14ac:dyDescent="0.25">
      <c r="A960" t="str">
        <f t="shared" si="14"/>
        <v>31-Jul-18</v>
      </c>
      <c r="B960" t="s">
        <v>7</v>
      </c>
      <c r="C960" t="s">
        <v>8</v>
      </c>
      <c r="D960" t="str">
        <f>"B97C733"</f>
        <v>B97C733</v>
      </c>
      <c r="E960" t="s">
        <v>978</v>
      </c>
      <c r="F960" t="s">
        <v>951</v>
      </c>
      <c r="G960">
        <v>1.7999999999999999E-2</v>
      </c>
      <c r="H960" t="s">
        <v>11</v>
      </c>
    </row>
    <row r="961" spans="1:8" x14ac:dyDescent="0.25">
      <c r="A961" t="str">
        <f t="shared" si="14"/>
        <v>31-Jul-18</v>
      </c>
      <c r="B961" t="s">
        <v>7</v>
      </c>
      <c r="C961" t="s">
        <v>8</v>
      </c>
      <c r="D961" t="str">
        <f>"5959378"</f>
        <v>5959378</v>
      </c>
      <c r="E961" t="s">
        <v>979</v>
      </c>
      <c r="F961" t="s">
        <v>951</v>
      </c>
      <c r="G961">
        <v>0.1</v>
      </c>
      <c r="H961" t="s">
        <v>11</v>
      </c>
    </row>
    <row r="962" spans="1:8" x14ac:dyDescent="0.25">
      <c r="A962" t="str">
        <f t="shared" ref="A962:A1025" si="15">"31-Jul-18"</f>
        <v>31-Jul-18</v>
      </c>
      <c r="B962" t="s">
        <v>7</v>
      </c>
      <c r="C962" t="s">
        <v>8</v>
      </c>
      <c r="D962" t="str">
        <f>"5978384"</f>
        <v>5978384</v>
      </c>
      <c r="E962" t="s">
        <v>980</v>
      </c>
      <c r="F962" t="s">
        <v>951</v>
      </c>
      <c r="G962">
        <v>5.1999999999999998E-2</v>
      </c>
      <c r="H962" t="s">
        <v>11</v>
      </c>
    </row>
    <row r="963" spans="1:8" x14ac:dyDescent="0.25">
      <c r="A963" t="str">
        <f t="shared" si="15"/>
        <v>31-Jul-18</v>
      </c>
      <c r="B963" t="s">
        <v>7</v>
      </c>
      <c r="C963" t="s">
        <v>8</v>
      </c>
      <c r="D963" t="str">
        <f>"B1QH830"</f>
        <v>B1QH830</v>
      </c>
      <c r="E963" t="s">
        <v>981</v>
      </c>
      <c r="F963" t="s">
        <v>951</v>
      </c>
      <c r="G963">
        <v>0.121</v>
      </c>
      <c r="H963" t="s">
        <v>11</v>
      </c>
    </row>
    <row r="964" spans="1:8" x14ac:dyDescent="0.25">
      <c r="A964" t="str">
        <f t="shared" si="15"/>
        <v>31-Jul-18</v>
      </c>
      <c r="B964" t="s">
        <v>7</v>
      </c>
      <c r="C964" t="s">
        <v>75</v>
      </c>
      <c r="F964" t="s">
        <v>951</v>
      </c>
      <c r="G964">
        <v>7.0000000000000001E-3</v>
      </c>
      <c r="H964" t="s">
        <v>559</v>
      </c>
    </row>
    <row r="965" spans="1:8" x14ac:dyDescent="0.25">
      <c r="A965" t="str">
        <f t="shared" si="15"/>
        <v>31-Jul-18</v>
      </c>
      <c r="B965" t="s">
        <v>7</v>
      </c>
      <c r="C965" t="s">
        <v>8</v>
      </c>
      <c r="D965" t="str">
        <f>"6563875"</f>
        <v>6563875</v>
      </c>
      <c r="E965" t="s">
        <v>982</v>
      </c>
      <c r="F965" t="s">
        <v>983</v>
      </c>
      <c r="G965">
        <v>2.1000000000000001E-2</v>
      </c>
      <c r="H965" t="s">
        <v>11</v>
      </c>
    </row>
    <row r="966" spans="1:8" x14ac:dyDescent="0.25">
      <c r="A966" t="str">
        <f t="shared" si="15"/>
        <v>31-Jul-18</v>
      </c>
      <c r="B966" t="s">
        <v>7</v>
      </c>
      <c r="C966" t="s">
        <v>8</v>
      </c>
      <c r="D966" t="str">
        <f>"B011YD2"</f>
        <v>B011YD2</v>
      </c>
      <c r="E966" t="s">
        <v>984</v>
      </c>
      <c r="F966" t="s">
        <v>983</v>
      </c>
      <c r="G966">
        <v>4.0000000000000001E-3</v>
      </c>
      <c r="H966" t="s">
        <v>11</v>
      </c>
    </row>
    <row r="967" spans="1:8" x14ac:dyDescent="0.25">
      <c r="A967" t="str">
        <f t="shared" si="15"/>
        <v>31-Jul-18</v>
      </c>
      <c r="B967" t="s">
        <v>7</v>
      </c>
      <c r="C967" t="s">
        <v>8</v>
      </c>
      <c r="D967" t="str">
        <f>"6309303"</f>
        <v>6309303</v>
      </c>
      <c r="E967" t="s">
        <v>985</v>
      </c>
      <c r="F967" t="s">
        <v>983</v>
      </c>
      <c r="G967">
        <v>2.1999999999999999E-2</v>
      </c>
      <c r="H967" t="s">
        <v>11</v>
      </c>
    </row>
    <row r="968" spans="1:8" x14ac:dyDescent="0.25">
      <c r="A968" t="str">
        <f t="shared" si="15"/>
        <v>31-Jul-18</v>
      </c>
      <c r="B968" t="s">
        <v>7</v>
      </c>
      <c r="C968" t="s">
        <v>8</v>
      </c>
      <c r="D968" t="str">
        <f>"6420129"</f>
        <v>6420129</v>
      </c>
      <c r="E968" t="s">
        <v>986</v>
      </c>
      <c r="F968" t="s">
        <v>983</v>
      </c>
      <c r="G968">
        <v>1.2E-2</v>
      </c>
      <c r="H968" t="s">
        <v>11</v>
      </c>
    </row>
    <row r="969" spans="1:8" x14ac:dyDescent="0.25">
      <c r="A969" t="str">
        <f t="shared" si="15"/>
        <v>31-Jul-18</v>
      </c>
      <c r="B969" t="s">
        <v>7</v>
      </c>
      <c r="C969" t="s">
        <v>8</v>
      </c>
      <c r="D969" t="str">
        <f>"6197928"</f>
        <v>6197928</v>
      </c>
      <c r="E969" t="s">
        <v>987</v>
      </c>
      <c r="F969" t="s">
        <v>983</v>
      </c>
      <c r="G969">
        <v>1.2999999999999999E-2</v>
      </c>
      <c r="H969" t="s">
        <v>11</v>
      </c>
    </row>
    <row r="970" spans="1:8" x14ac:dyDescent="0.25">
      <c r="A970" t="str">
        <f t="shared" si="15"/>
        <v>31-Jul-18</v>
      </c>
      <c r="B970" t="s">
        <v>7</v>
      </c>
      <c r="C970" t="s">
        <v>8</v>
      </c>
      <c r="D970" t="str">
        <f>"6603737"</f>
        <v>6603737</v>
      </c>
      <c r="E970" t="s">
        <v>988</v>
      </c>
      <c r="F970" t="s">
        <v>983</v>
      </c>
      <c r="G970">
        <v>7.0000000000000001E-3</v>
      </c>
      <c r="H970" t="s">
        <v>11</v>
      </c>
    </row>
    <row r="971" spans="1:8" x14ac:dyDescent="0.25">
      <c r="A971" t="str">
        <f t="shared" si="15"/>
        <v>31-Jul-18</v>
      </c>
      <c r="B971" t="s">
        <v>7</v>
      </c>
      <c r="C971" t="s">
        <v>8</v>
      </c>
      <c r="D971" t="str">
        <f>"6175203"</f>
        <v>6175203</v>
      </c>
      <c r="E971" t="s">
        <v>989</v>
      </c>
      <c r="F971" t="s">
        <v>983</v>
      </c>
      <c r="G971">
        <v>0.14399999999999999</v>
      </c>
      <c r="H971" t="s">
        <v>11</v>
      </c>
    </row>
    <row r="972" spans="1:8" x14ac:dyDescent="0.25">
      <c r="A972" t="str">
        <f t="shared" si="15"/>
        <v>31-Jul-18</v>
      </c>
      <c r="B972" t="s">
        <v>7</v>
      </c>
      <c r="C972" t="s">
        <v>8</v>
      </c>
      <c r="D972" t="str">
        <f>"BDRTVP2"</f>
        <v>BDRTVP2</v>
      </c>
      <c r="E972" t="s">
        <v>990</v>
      </c>
      <c r="F972" t="s">
        <v>983</v>
      </c>
      <c r="G972">
        <v>1.2999999999999999E-2</v>
      </c>
      <c r="H972" t="s">
        <v>11</v>
      </c>
    </row>
    <row r="973" spans="1:8" x14ac:dyDescent="0.25">
      <c r="A973" t="str">
        <f t="shared" si="15"/>
        <v>31-Jul-18</v>
      </c>
      <c r="B973" t="s">
        <v>7</v>
      </c>
      <c r="C973" t="s">
        <v>8</v>
      </c>
      <c r="D973" t="str">
        <f>"6242260"</f>
        <v>6242260</v>
      </c>
      <c r="E973" t="s">
        <v>991</v>
      </c>
      <c r="F973" t="s">
        <v>983</v>
      </c>
      <c r="G973">
        <v>4.0000000000000001E-3</v>
      </c>
      <c r="H973" t="s">
        <v>11</v>
      </c>
    </row>
    <row r="974" spans="1:8" x14ac:dyDescent="0.25">
      <c r="A974" t="str">
        <f t="shared" si="15"/>
        <v>31-Jul-18</v>
      </c>
      <c r="B974" t="s">
        <v>7</v>
      </c>
      <c r="C974" t="s">
        <v>8</v>
      </c>
      <c r="D974" t="str">
        <f>"B1VQ5C0"</f>
        <v>B1VQ5C0</v>
      </c>
      <c r="E974" t="s">
        <v>992</v>
      </c>
      <c r="F974" t="s">
        <v>983</v>
      </c>
      <c r="G974">
        <v>0.04</v>
      </c>
      <c r="H974" t="s">
        <v>11</v>
      </c>
    </row>
    <row r="975" spans="1:8" x14ac:dyDescent="0.25">
      <c r="A975" t="str">
        <f t="shared" si="15"/>
        <v>31-Jul-18</v>
      </c>
      <c r="B975" t="s">
        <v>7</v>
      </c>
      <c r="C975" t="s">
        <v>8</v>
      </c>
      <c r="D975" t="str">
        <f>"B0F9V20"</f>
        <v>B0F9V20</v>
      </c>
      <c r="E975" t="s">
        <v>993</v>
      </c>
      <c r="F975" t="s">
        <v>983</v>
      </c>
      <c r="G975">
        <v>5.3999999999999999E-2</v>
      </c>
      <c r="H975" t="s">
        <v>11</v>
      </c>
    </row>
    <row r="976" spans="1:8" x14ac:dyDescent="0.25">
      <c r="A976" t="str">
        <f t="shared" si="15"/>
        <v>31-Jul-18</v>
      </c>
      <c r="B976" t="s">
        <v>7</v>
      </c>
      <c r="C976" t="s">
        <v>8</v>
      </c>
      <c r="D976" t="str">
        <f>"B08X163"</f>
        <v>B08X163</v>
      </c>
      <c r="E976" t="s">
        <v>994</v>
      </c>
      <c r="F976" t="s">
        <v>983</v>
      </c>
      <c r="G976">
        <v>8.9999999999999993E-3</v>
      </c>
      <c r="H976" t="s">
        <v>11</v>
      </c>
    </row>
    <row r="977" spans="1:8" x14ac:dyDescent="0.25">
      <c r="A977" t="str">
        <f t="shared" si="15"/>
        <v>31-Jul-18</v>
      </c>
      <c r="B977" t="s">
        <v>7</v>
      </c>
      <c r="C977" t="s">
        <v>8</v>
      </c>
      <c r="D977" t="str">
        <f>"6811734"</f>
        <v>6811734</v>
      </c>
      <c r="E977" t="s">
        <v>995</v>
      </c>
      <c r="F977" t="s">
        <v>983</v>
      </c>
      <c r="G977">
        <v>1.9E-2</v>
      </c>
      <c r="H977" t="s">
        <v>11</v>
      </c>
    </row>
    <row r="978" spans="1:8" x14ac:dyDescent="0.25">
      <c r="A978" t="str">
        <f t="shared" si="15"/>
        <v>31-Jul-18</v>
      </c>
      <c r="B978" t="s">
        <v>7</v>
      </c>
      <c r="C978" t="s">
        <v>8</v>
      </c>
      <c r="D978" t="str">
        <f>"6243586"</f>
        <v>6243586</v>
      </c>
      <c r="E978" t="s">
        <v>996</v>
      </c>
      <c r="F978" t="s">
        <v>983</v>
      </c>
      <c r="G978">
        <v>2E-3</v>
      </c>
      <c r="H978" t="s">
        <v>11</v>
      </c>
    </row>
    <row r="979" spans="1:8" x14ac:dyDescent="0.25">
      <c r="A979" t="str">
        <f t="shared" si="15"/>
        <v>31-Jul-18</v>
      </c>
      <c r="B979" t="s">
        <v>7</v>
      </c>
      <c r="C979" t="s">
        <v>8</v>
      </c>
      <c r="D979" t="str">
        <f>"6303866"</f>
        <v>6303866</v>
      </c>
      <c r="E979" t="s">
        <v>997</v>
      </c>
      <c r="F979" t="s">
        <v>983</v>
      </c>
      <c r="G979">
        <v>7.0000000000000001E-3</v>
      </c>
      <c r="H979" t="s">
        <v>11</v>
      </c>
    </row>
    <row r="980" spans="1:8" x14ac:dyDescent="0.25">
      <c r="A980" t="str">
        <f t="shared" si="15"/>
        <v>31-Jul-18</v>
      </c>
      <c r="B980" t="s">
        <v>7</v>
      </c>
      <c r="C980" t="s">
        <v>8</v>
      </c>
      <c r="D980" t="str">
        <f>"B012899"</f>
        <v>B012899</v>
      </c>
      <c r="E980" t="s">
        <v>998</v>
      </c>
      <c r="F980" t="s">
        <v>983</v>
      </c>
      <c r="G980">
        <v>6.0000000000000001E-3</v>
      </c>
      <c r="H980" t="s">
        <v>11</v>
      </c>
    </row>
    <row r="981" spans="1:8" x14ac:dyDescent="0.25">
      <c r="A981" t="str">
        <f t="shared" si="15"/>
        <v>31-Jul-18</v>
      </c>
      <c r="B981" t="s">
        <v>7</v>
      </c>
      <c r="C981" t="s">
        <v>8</v>
      </c>
      <c r="D981" t="str">
        <f>"6043214"</f>
        <v>6043214</v>
      </c>
      <c r="E981" t="s">
        <v>999</v>
      </c>
      <c r="F981" t="s">
        <v>983</v>
      </c>
      <c r="G981">
        <v>4.2999999999999997E-2</v>
      </c>
      <c r="H981" t="s">
        <v>11</v>
      </c>
    </row>
    <row r="982" spans="1:8" x14ac:dyDescent="0.25">
      <c r="A982" t="str">
        <f t="shared" si="15"/>
        <v>31-Jul-18</v>
      </c>
      <c r="B982" t="s">
        <v>7</v>
      </c>
      <c r="C982" t="s">
        <v>8</v>
      </c>
      <c r="D982" t="str">
        <f>"B02PY22"</f>
        <v>B02PY22</v>
      </c>
      <c r="E982" t="s">
        <v>1000</v>
      </c>
      <c r="F982" t="s">
        <v>983</v>
      </c>
      <c r="G982">
        <v>8.5000000000000006E-2</v>
      </c>
      <c r="H982" t="s">
        <v>11</v>
      </c>
    </row>
    <row r="983" spans="1:8" x14ac:dyDescent="0.25">
      <c r="A983" t="str">
        <f t="shared" si="15"/>
        <v>31-Jul-18</v>
      </c>
      <c r="B983" t="s">
        <v>7</v>
      </c>
      <c r="C983" t="s">
        <v>8</v>
      </c>
      <c r="D983" t="str">
        <f>"B04PZ72"</f>
        <v>B04PZ72</v>
      </c>
      <c r="E983" t="s">
        <v>1001</v>
      </c>
      <c r="F983" t="s">
        <v>983</v>
      </c>
      <c r="G983">
        <v>1E-3</v>
      </c>
      <c r="H983" t="s">
        <v>11</v>
      </c>
    </row>
    <row r="984" spans="1:8" x14ac:dyDescent="0.25">
      <c r="A984" t="str">
        <f t="shared" si="15"/>
        <v>31-Jul-18</v>
      </c>
      <c r="B984" t="s">
        <v>7</v>
      </c>
      <c r="C984" t="s">
        <v>8</v>
      </c>
      <c r="D984" t="str">
        <f>"6916844"</f>
        <v>6916844</v>
      </c>
      <c r="E984" t="s">
        <v>1002</v>
      </c>
      <c r="F984" t="s">
        <v>983</v>
      </c>
      <c r="G984">
        <v>1E-3</v>
      </c>
      <c r="H984" t="s">
        <v>11</v>
      </c>
    </row>
    <row r="985" spans="1:8" x14ac:dyDescent="0.25">
      <c r="A985" t="str">
        <f t="shared" si="15"/>
        <v>31-Jul-18</v>
      </c>
      <c r="B985" t="s">
        <v>7</v>
      </c>
      <c r="C985" t="s">
        <v>8</v>
      </c>
      <c r="D985" t="str">
        <f>"6916781"</f>
        <v>6916781</v>
      </c>
      <c r="E985" t="s">
        <v>1003</v>
      </c>
      <c r="F985" t="s">
        <v>983</v>
      </c>
      <c r="G985">
        <v>5.3999999999999999E-2</v>
      </c>
      <c r="H985" t="s">
        <v>11</v>
      </c>
    </row>
    <row r="986" spans="1:8" x14ac:dyDescent="0.25">
      <c r="A986" t="str">
        <f t="shared" si="15"/>
        <v>31-Jul-18</v>
      </c>
      <c r="B986" t="s">
        <v>7</v>
      </c>
      <c r="C986" t="s">
        <v>8</v>
      </c>
      <c r="D986" t="str">
        <f>"B17KC69"</f>
        <v>B17KC69</v>
      </c>
      <c r="E986" t="s">
        <v>1004</v>
      </c>
      <c r="F986" t="s">
        <v>983</v>
      </c>
      <c r="G986">
        <v>5.0000000000000001E-3</v>
      </c>
      <c r="H986" t="s">
        <v>11</v>
      </c>
    </row>
    <row r="987" spans="1:8" x14ac:dyDescent="0.25">
      <c r="A987" t="str">
        <f t="shared" si="15"/>
        <v>31-Jul-18</v>
      </c>
      <c r="B987" t="s">
        <v>7</v>
      </c>
      <c r="C987" t="s">
        <v>75</v>
      </c>
      <c r="F987" t="s">
        <v>983</v>
      </c>
      <c r="G987">
        <v>2E-3</v>
      </c>
      <c r="H987" t="s">
        <v>1005</v>
      </c>
    </row>
    <row r="988" spans="1:8" x14ac:dyDescent="0.25">
      <c r="A988" t="str">
        <f t="shared" si="15"/>
        <v>31-Jul-18</v>
      </c>
      <c r="B988" t="s">
        <v>7</v>
      </c>
      <c r="C988" t="s">
        <v>8</v>
      </c>
      <c r="D988" t="str">
        <f>"88579Y101"</f>
        <v>88579Y101</v>
      </c>
      <c r="E988" t="s">
        <v>1006</v>
      </c>
      <c r="F988" t="s">
        <v>7</v>
      </c>
      <c r="G988">
        <v>0.55300000000000005</v>
      </c>
      <c r="H988" t="s">
        <v>11</v>
      </c>
    </row>
    <row r="989" spans="1:8" x14ac:dyDescent="0.25">
      <c r="A989" t="str">
        <f t="shared" si="15"/>
        <v>31-Jul-18</v>
      </c>
      <c r="B989" t="s">
        <v>7</v>
      </c>
      <c r="C989" t="s">
        <v>8</v>
      </c>
      <c r="D989" t="str">
        <f>"003654100"</f>
        <v>003654100</v>
      </c>
      <c r="E989" t="s">
        <v>1007</v>
      </c>
      <c r="F989" t="s">
        <v>7</v>
      </c>
      <c r="G989">
        <v>2.4E-2</v>
      </c>
      <c r="H989" t="s">
        <v>11</v>
      </c>
    </row>
    <row r="990" spans="1:8" x14ac:dyDescent="0.25">
      <c r="A990" t="str">
        <f t="shared" si="15"/>
        <v>31-Jul-18</v>
      </c>
      <c r="B990" t="s">
        <v>7</v>
      </c>
      <c r="C990" t="s">
        <v>8</v>
      </c>
      <c r="D990" t="str">
        <f>"00130H105"</f>
        <v>00130H105</v>
      </c>
      <c r="E990" t="s">
        <v>1008</v>
      </c>
      <c r="F990" t="s">
        <v>7</v>
      </c>
      <c r="G990">
        <v>2.3E-2</v>
      </c>
      <c r="H990" t="s">
        <v>11</v>
      </c>
    </row>
    <row r="991" spans="1:8" x14ac:dyDescent="0.25">
      <c r="A991" t="str">
        <f t="shared" si="15"/>
        <v>31-Jul-18</v>
      </c>
      <c r="B991" t="s">
        <v>7</v>
      </c>
      <c r="C991" t="s">
        <v>8</v>
      </c>
      <c r="D991" t="str">
        <f>"001084102"</f>
        <v>001084102</v>
      </c>
      <c r="E991" t="s">
        <v>1009</v>
      </c>
      <c r="F991" t="s">
        <v>7</v>
      </c>
      <c r="G991">
        <v>1.2E-2</v>
      </c>
      <c r="H991" t="s">
        <v>11</v>
      </c>
    </row>
    <row r="992" spans="1:8" x14ac:dyDescent="0.25">
      <c r="A992" t="str">
        <f t="shared" si="15"/>
        <v>31-Jul-18</v>
      </c>
      <c r="B992" t="s">
        <v>7</v>
      </c>
      <c r="C992" t="s">
        <v>8</v>
      </c>
      <c r="D992" t="str">
        <f>"00123Q104"</f>
        <v>00123Q104</v>
      </c>
      <c r="E992" t="s">
        <v>1010</v>
      </c>
      <c r="F992" t="s">
        <v>7</v>
      </c>
      <c r="G992">
        <v>3.0000000000000001E-3</v>
      </c>
      <c r="H992" t="s">
        <v>11</v>
      </c>
    </row>
    <row r="993" spans="1:8" x14ac:dyDescent="0.25">
      <c r="A993" t="str">
        <f t="shared" si="15"/>
        <v>31-Jul-18</v>
      </c>
      <c r="B993" t="s">
        <v>7</v>
      </c>
      <c r="C993" t="s">
        <v>8</v>
      </c>
      <c r="D993" t="str">
        <f>"023586100"</f>
        <v>023586100</v>
      </c>
      <c r="E993" t="s">
        <v>1011</v>
      </c>
      <c r="F993" t="s">
        <v>7</v>
      </c>
      <c r="G993">
        <v>0.01</v>
      </c>
      <c r="H993" t="s">
        <v>11</v>
      </c>
    </row>
    <row r="994" spans="1:8" x14ac:dyDescent="0.25">
      <c r="A994" t="str">
        <f t="shared" si="15"/>
        <v>31-Jul-18</v>
      </c>
      <c r="B994" t="s">
        <v>7</v>
      </c>
      <c r="C994" t="s">
        <v>8</v>
      </c>
      <c r="D994" t="str">
        <f>"031100100"</f>
        <v>031100100</v>
      </c>
      <c r="E994" t="s">
        <v>1012</v>
      </c>
      <c r="F994" t="s">
        <v>7</v>
      </c>
      <c r="G994">
        <v>3.3000000000000002E-2</v>
      </c>
      <c r="H994" t="s">
        <v>11</v>
      </c>
    </row>
    <row r="995" spans="1:8" x14ac:dyDescent="0.25">
      <c r="A995" t="str">
        <f t="shared" si="15"/>
        <v>31-Jul-18</v>
      </c>
      <c r="B995" t="s">
        <v>7</v>
      </c>
      <c r="C995" t="s">
        <v>8</v>
      </c>
      <c r="D995" t="str">
        <f>"03662Q105"</f>
        <v>03662Q105</v>
      </c>
      <c r="E995" t="s">
        <v>1013</v>
      </c>
      <c r="F995" t="s">
        <v>7</v>
      </c>
      <c r="G995">
        <v>2.3E-2</v>
      </c>
      <c r="H995" t="s">
        <v>11</v>
      </c>
    </row>
    <row r="996" spans="1:8" x14ac:dyDescent="0.25">
      <c r="A996" t="str">
        <f t="shared" si="15"/>
        <v>31-Jul-18</v>
      </c>
      <c r="B996" t="s">
        <v>7</v>
      </c>
      <c r="C996" t="s">
        <v>8</v>
      </c>
      <c r="D996" t="str">
        <f>"831865209"</f>
        <v>831865209</v>
      </c>
      <c r="E996" t="s">
        <v>1014</v>
      </c>
      <c r="F996" t="s">
        <v>7</v>
      </c>
      <c r="G996">
        <v>2.4E-2</v>
      </c>
      <c r="H996" t="s">
        <v>11</v>
      </c>
    </row>
    <row r="997" spans="1:8" x14ac:dyDescent="0.25">
      <c r="A997" t="str">
        <f t="shared" si="15"/>
        <v>31-Jul-18</v>
      </c>
      <c r="B997" t="s">
        <v>7</v>
      </c>
      <c r="C997" t="s">
        <v>8</v>
      </c>
      <c r="D997" t="str">
        <f>"00206R102"</f>
        <v>00206R102</v>
      </c>
      <c r="E997" t="s">
        <v>1015</v>
      </c>
      <c r="F997" t="s">
        <v>7</v>
      </c>
      <c r="G997">
        <v>0.57699999999999996</v>
      </c>
      <c r="H997" t="s">
        <v>11</v>
      </c>
    </row>
    <row r="998" spans="1:8" x14ac:dyDescent="0.25">
      <c r="A998" t="str">
        <f t="shared" si="15"/>
        <v>31-Jul-18</v>
      </c>
      <c r="B998" t="s">
        <v>7</v>
      </c>
      <c r="C998" t="s">
        <v>8</v>
      </c>
      <c r="D998" t="str">
        <f>"00287Y109"</f>
        <v>00287Y109</v>
      </c>
      <c r="E998" t="s">
        <v>1016</v>
      </c>
      <c r="F998" t="s">
        <v>7</v>
      </c>
      <c r="G998">
        <v>0.30599999999999999</v>
      </c>
      <c r="H998" t="s">
        <v>11</v>
      </c>
    </row>
    <row r="999" spans="1:8" x14ac:dyDescent="0.25">
      <c r="A999" t="str">
        <f t="shared" si="15"/>
        <v>31-Jul-18</v>
      </c>
      <c r="B999" t="s">
        <v>7</v>
      </c>
      <c r="C999" t="s">
        <v>8</v>
      </c>
      <c r="D999" t="str">
        <f>"002824100"</f>
        <v>002824100</v>
      </c>
      <c r="E999" t="s">
        <v>1017</v>
      </c>
      <c r="F999" t="s">
        <v>7</v>
      </c>
      <c r="G999">
        <v>0.13400000000000001</v>
      </c>
      <c r="H999" t="s">
        <v>11</v>
      </c>
    </row>
    <row r="1000" spans="1:8" x14ac:dyDescent="0.25">
      <c r="A1000" t="str">
        <f t="shared" si="15"/>
        <v>31-Jul-18</v>
      </c>
      <c r="B1000" t="s">
        <v>7</v>
      </c>
      <c r="C1000" t="s">
        <v>8</v>
      </c>
      <c r="D1000" t="str">
        <f>"G1151C101"</f>
        <v>G1151C101</v>
      </c>
      <c r="E1000" t="s">
        <v>1018</v>
      </c>
      <c r="F1000" t="s">
        <v>7</v>
      </c>
      <c r="G1000">
        <v>0.42399999999999999</v>
      </c>
      <c r="H1000" t="s">
        <v>11</v>
      </c>
    </row>
    <row r="1001" spans="1:8" x14ac:dyDescent="0.25">
      <c r="A1001" t="str">
        <f t="shared" si="15"/>
        <v>31-Jul-18</v>
      </c>
      <c r="B1001" t="s">
        <v>7</v>
      </c>
      <c r="C1001" t="s">
        <v>8</v>
      </c>
      <c r="D1001" t="str">
        <f>"00507V109"</f>
        <v>00507V109</v>
      </c>
      <c r="E1001" t="s">
        <v>1019</v>
      </c>
      <c r="F1001" t="s">
        <v>7</v>
      </c>
      <c r="G1001">
        <v>0.111</v>
      </c>
      <c r="H1001" t="s">
        <v>11</v>
      </c>
    </row>
    <row r="1002" spans="1:8" x14ac:dyDescent="0.25">
      <c r="A1002" t="str">
        <f t="shared" si="15"/>
        <v>31-Jul-18</v>
      </c>
      <c r="B1002" t="s">
        <v>7</v>
      </c>
      <c r="C1002" t="s">
        <v>8</v>
      </c>
      <c r="D1002" t="str">
        <f>"00508Y102"</f>
        <v>00508Y102</v>
      </c>
      <c r="E1002" t="s">
        <v>1020</v>
      </c>
      <c r="F1002" t="s">
        <v>7</v>
      </c>
      <c r="G1002">
        <v>1.2999999999999999E-2</v>
      </c>
      <c r="H1002" t="s">
        <v>11</v>
      </c>
    </row>
    <row r="1003" spans="1:8" x14ac:dyDescent="0.25">
      <c r="A1003" t="str">
        <f t="shared" si="15"/>
        <v>31-Jul-18</v>
      </c>
      <c r="B1003" t="s">
        <v>7</v>
      </c>
      <c r="C1003" t="s">
        <v>8</v>
      </c>
      <c r="D1003" t="str">
        <f>"00724F101"</f>
        <v>00724F101</v>
      </c>
      <c r="E1003" t="s">
        <v>1021</v>
      </c>
      <c r="F1003" t="s">
        <v>7</v>
      </c>
      <c r="G1003">
        <v>0.317</v>
      </c>
      <c r="H1003" t="s">
        <v>11</v>
      </c>
    </row>
    <row r="1004" spans="1:8" x14ac:dyDescent="0.25">
      <c r="A1004" t="str">
        <f t="shared" si="15"/>
        <v>31-Jul-18</v>
      </c>
      <c r="B1004" t="s">
        <v>7</v>
      </c>
      <c r="C1004" t="s">
        <v>8</v>
      </c>
      <c r="D1004" t="str">
        <f>"00751Y106"</f>
        <v>00751Y106</v>
      </c>
      <c r="E1004" t="s">
        <v>1022</v>
      </c>
      <c r="F1004" t="s">
        <v>7</v>
      </c>
      <c r="G1004">
        <v>2.3E-2</v>
      </c>
      <c r="H1004" t="s">
        <v>11</v>
      </c>
    </row>
    <row r="1005" spans="1:8" x14ac:dyDescent="0.25">
      <c r="A1005" t="str">
        <f t="shared" si="15"/>
        <v>31-Jul-18</v>
      </c>
      <c r="B1005" t="s">
        <v>7</v>
      </c>
      <c r="C1005" t="s">
        <v>8</v>
      </c>
      <c r="D1005" t="str">
        <f>"007903107"</f>
        <v>007903107</v>
      </c>
      <c r="E1005" t="s">
        <v>1023</v>
      </c>
      <c r="F1005" t="s">
        <v>7</v>
      </c>
      <c r="G1005">
        <v>3.3000000000000002E-2</v>
      </c>
      <c r="H1005" t="s">
        <v>11</v>
      </c>
    </row>
    <row r="1006" spans="1:8" x14ac:dyDescent="0.25">
      <c r="A1006" t="str">
        <f t="shared" si="15"/>
        <v>31-Jul-18</v>
      </c>
      <c r="B1006" t="s">
        <v>7</v>
      </c>
      <c r="C1006" t="s">
        <v>8</v>
      </c>
      <c r="D1006" t="str">
        <f>"N00985106"</f>
        <v>N00985106</v>
      </c>
      <c r="E1006" t="s">
        <v>1024</v>
      </c>
      <c r="F1006" t="s">
        <v>7</v>
      </c>
      <c r="G1006">
        <v>1.6E-2</v>
      </c>
      <c r="H1006" t="s">
        <v>11</v>
      </c>
    </row>
    <row r="1007" spans="1:8" x14ac:dyDescent="0.25">
      <c r="A1007" t="str">
        <f t="shared" si="15"/>
        <v>31-Jul-18</v>
      </c>
      <c r="B1007" t="s">
        <v>7</v>
      </c>
      <c r="C1007" t="s">
        <v>8</v>
      </c>
      <c r="D1007" t="str">
        <f>"00817Y108"</f>
        <v>00817Y108</v>
      </c>
      <c r="E1007" t="s">
        <v>1025</v>
      </c>
      <c r="F1007" t="s">
        <v>7</v>
      </c>
      <c r="G1007">
        <v>0.14000000000000001</v>
      </c>
      <c r="H1007" t="s">
        <v>11</v>
      </c>
    </row>
    <row r="1008" spans="1:8" x14ac:dyDescent="0.25">
      <c r="A1008" t="str">
        <f t="shared" si="15"/>
        <v>31-Jul-18</v>
      </c>
      <c r="B1008" t="s">
        <v>7</v>
      </c>
      <c r="C1008" t="s">
        <v>8</v>
      </c>
      <c r="D1008" t="str">
        <f>"008252108"</f>
        <v>008252108</v>
      </c>
      <c r="E1008" t="s">
        <v>1026</v>
      </c>
      <c r="F1008" t="s">
        <v>7</v>
      </c>
      <c r="G1008">
        <v>1.0999999999999999E-2</v>
      </c>
      <c r="H1008" t="s">
        <v>11</v>
      </c>
    </row>
    <row r="1009" spans="1:8" x14ac:dyDescent="0.25">
      <c r="A1009" t="str">
        <f t="shared" si="15"/>
        <v>31-Jul-18</v>
      </c>
      <c r="B1009" t="s">
        <v>7</v>
      </c>
      <c r="C1009" t="s">
        <v>8</v>
      </c>
      <c r="D1009" t="str">
        <f>"001055102"</f>
        <v>001055102</v>
      </c>
      <c r="E1009" t="s">
        <v>1027</v>
      </c>
      <c r="F1009" t="s">
        <v>7</v>
      </c>
      <c r="G1009">
        <v>7.9000000000000001E-2</v>
      </c>
      <c r="H1009" t="s">
        <v>11</v>
      </c>
    </row>
    <row r="1010" spans="1:8" x14ac:dyDescent="0.25">
      <c r="A1010" t="str">
        <f t="shared" si="15"/>
        <v>31-Jul-18</v>
      </c>
      <c r="B1010" t="s">
        <v>7</v>
      </c>
      <c r="C1010" t="s">
        <v>8</v>
      </c>
      <c r="D1010" t="str">
        <f>"00846U101"</f>
        <v>00846U101</v>
      </c>
      <c r="E1010" t="s">
        <v>1028</v>
      </c>
      <c r="F1010" t="s">
        <v>7</v>
      </c>
      <c r="G1010">
        <v>9.6000000000000002E-2</v>
      </c>
      <c r="H1010" t="s">
        <v>11</v>
      </c>
    </row>
    <row r="1011" spans="1:8" x14ac:dyDescent="0.25">
      <c r="A1011" t="str">
        <f t="shared" si="15"/>
        <v>31-Jul-18</v>
      </c>
      <c r="B1011" t="s">
        <v>7</v>
      </c>
      <c r="C1011" t="s">
        <v>8</v>
      </c>
      <c r="D1011" t="str">
        <f>"009158106"</f>
        <v>009158106</v>
      </c>
      <c r="E1011" t="s">
        <v>1029</v>
      </c>
      <c r="F1011" t="s">
        <v>7</v>
      </c>
      <c r="G1011">
        <v>6.5000000000000002E-2</v>
      </c>
      <c r="H1011" t="s">
        <v>11</v>
      </c>
    </row>
    <row r="1012" spans="1:8" x14ac:dyDescent="0.25">
      <c r="A1012" t="str">
        <f t="shared" si="15"/>
        <v>31-Jul-18</v>
      </c>
      <c r="B1012" t="s">
        <v>7</v>
      </c>
      <c r="C1012" t="s">
        <v>8</v>
      </c>
      <c r="D1012" t="str">
        <f>"00971T101"</f>
        <v>00971T101</v>
      </c>
      <c r="E1012" t="s">
        <v>1030</v>
      </c>
      <c r="F1012" t="s">
        <v>7</v>
      </c>
      <c r="G1012">
        <v>2.9000000000000001E-2</v>
      </c>
      <c r="H1012" t="s">
        <v>11</v>
      </c>
    </row>
    <row r="1013" spans="1:8" x14ac:dyDescent="0.25">
      <c r="A1013" t="str">
        <f t="shared" si="15"/>
        <v>31-Jul-18</v>
      </c>
      <c r="B1013" t="s">
        <v>7</v>
      </c>
      <c r="C1013" t="s">
        <v>8</v>
      </c>
      <c r="D1013" t="str">
        <f>"012653101"</f>
        <v>012653101</v>
      </c>
      <c r="E1013" t="s">
        <v>1031</v>
      </c>
      <c r="F1013" t="s">
        <v>7</v>
      </c>
      <c r="G1013">
        <v>2.1999999999999999E-2</v>
      </c>
      <c r="H1013" t="s">
        <v>11</v>
      </c>
    </row>
    <row r="1014" spans="1:8" x14ac:dyDescent="0.25">
      <c r="A1014" t="str">
        <f t="shared" si="15"/>
        <v>31-Jul-18</v>
      </c>
      <c r="B1014" t="s">
        <v>7</v>
      </c>
      <c r="C1014" t="s">
        <v>8</v>
      </c>
      <c r="D1014" t="str">
        <f>"015271109"</f>
        <v>015271109</v>
      </c>
      <c r="E1014" t="s">
        <v>1032</v>
      </c>
      <c r="F1014" t="s">
        <v>7</v>
      </c>
      <c r="G1014">
        <v>2.9000000000000001E-2</v>
      </c>
      <c r="H1014" t="s">
        <v>11</v>
      </c>
    </row>
    <row r="1015" spans="1:8" x14ac:dyDescent="0.25">
      <c r="A1015" t="str">
        <f t="shared" si="15"/>
        <v>31-Jul-18</v>
      </c>
      <c r="B1015" t="s">
        <v>7</v>
      </c>
      <c r="C1015" t="s">
        <v>8</v>
      </c>
      <c r="D1015" t="str">
        <f>"015351109"</f>
        <v>015351109</v>
      </c>
      <c r="E1015" t="s">
        <v>1033</v>
      </c>
      <c r="F1015" t="s">
        <v>7</v>
      </c>
      <c r="G1015">
        <v>3.5999999999999997E-2</v>
      </c>
      <c r="H1015" t="s">
        <v>11</v>
      </c>
    </row>
    <row r="1016" spans="1:8" x14ac:dyDescent="0.25">
      <c r="A1016" t="str">
        <f t="shared" si="15"/>
        <v>31-Jul-18</v>
      </c>
      <c r="B1016" t="s">
        <v>7</v>
      </c>
      <c r="C1016" t="s">
        <v>8</v>
      </c>
      <c r="D1016" t="str">
        <f>"016255101"</f>
        <v>016255101</v>
      </c>
      <c r="E1016" t="s">
        <v>1034</v>
      </c>
      <c r="F1016" t="s">
        <v>7</v>
      </c>
      <c r="G1016">
        <v>5.8000000000000003E-2</v>
      </c>
      <c r="H1016" t="s">
        <v>11</v>
      </c>
    </row>
    <row r="1017" spans="1:8" x14ac:dyDescent="0.25">
      <c r="A1017" t="str">
        <f t="shared" si="15"/>
        <v>31-Jul-18</v>
      </c>
      <c r="B1017" t="s">
        <v>7</v>
      </c>
      <c r="C1017" t="s">
        <v>8</v>
      </c>
      <c r="D1017" t="str">
        <f>"G01767105"</f>
        <v>G01767105</v>
      </c>
      <c r="E1017" t="s">
        <v>1035</v>
      </c>
      <c r="F1017" t="s">
        <v>7</v>
      </c>
      <c r="G1017">
        <v>1.6E-2</v>
      </c>
      <c r="H1017" t="s">
        <v>11</v>
      </c>
    </row>
    <row r="1018" spans="1:8" x14ac:dyDescent="0.25">
      <c r="A1018" t="str">
        <f t="shared" si="15"/>
        <v>31-Jul-18</v>
      </c>
      <c r="B1018" t="s">
        <v>7</v>
      </c>
      <c r="C1018" t="s">
        <v>8</v>
      </c>
      <c r="D1018" t="str">
        <f>"017175100"</f>
        <v>017175100</v>
      </c>
      <c r="E1018" t="s">
        <v>1036</v>
      </c>
      <c r="F1018" t="s">
        <v>7</v>
      </c>
      <c r="G1018">
        <v>8.0000000000000002E-3</v>
      </c>
      <c r="H1018" t="s">
        <v>11</v>
      </c>
    </row>
    <row r="1019" spans="1:8" x14ac:dyDescent="0.25">
      <c r="A1019" t="str">
        <f t="shared" si="15"/>
        <v>31-Jul-18</v>
      </c>
      <c r="B1019" t="s">
        <v>7</v>
      </c>
      <c r="C1019" t="s">
        <v>8</v>
      </c>
      <c r="D1019" t="str">
        <f>"G0176J109"</f>
        <v>G0176J109</v>
      </c>
      <c r="E1019" t="s">
        <v>1037</v>
      </c>
      <c r="F1019" t="s">
        <v>7</v>
      </c>
      <c r="G1019">
        <v>3.4000000000000002E-2</v>
      </c>
      <c r="H1019" t="s">
        <v>11</v>
      </c>
    </row>
    <row r="1020" spans="1:8" x14ac:dyDescent="0.25">
      <c r="A1020" t="str">
        <f t="shared" si="15"/>
        <v>31-Jul-18</v>
      </c>
      <c r="B1020" t="s">
        <v>7</v>
      </c>
      <c r="C1020" t="s">
        <v>8</v>
      </c>
      <c r="D1020" t="str">
        <f>"G0177J108"</f>
        <v>G0177J108</v>
      </c>
      <c r="E1020" t="s">
        <v>1038</v>
      </c>
      <c r="F1020" t="s">
        <v>7</v>
      </c>
      <c r="G1020">
        <v>7.0999999999999994E-2</v>
      </c>
      <c r="H1020" t="s">
        <v>11</v>
      </c>
    </row>
    <row r="1021" spans="1:8" x14ac:dyDescent="0.25">
      <c r="A1021" t="str">
        <f t="shared" si="15"/>
        <v>31-Jul-18</v>
      </c>
      <c r="B1021" t="s">
        <v>7</v>
      </c>
      <c r="C1021" t="s">
        <v>8</v>
      </c>
      <c r="D1021" t="str">
        <f>"018581108"</f>
        <v>018581108</v>
      </c>
      <c r="E1021" t="s">
        <v>1039</v>
      </c>
      <c r="F1021" t="s">
        <v>7</v>
      </c>
      <c r="G1021">
        <v>2.1000000000000001E-2</v>
      </c>
      <c r="H1021" t="s">
        <v>11</v>
      </c>
    </row>
    <row r="1022" spans="1:8" x14ac:dyDescent="0.25">
      <c r="A1022" t="str">
        <f t="shared" si="15"/>
        <v>31-Jul-18</v>
      </c>
      <c r="B1022" t="s">
        <v>7</v>
      </c>
      <c r="C1022" t="s">
        <v>8</v>
      </c>
      <c r="D1022" t="str">
        <f>"018802108"</f>
        <v>018802108</v>
      </c>
      <c r="E1022" t="s">
        <v>1040</v>
      </c>
      <c r="F1022" t="s">
        <v>7</v>
      </c>
      <c r="G1022">
        <v>2.5999999999999999E-2</v>
      </c>
      <c r="H1022" t="s">
        <v>11</v>
      </c>
    </row>
    <row r="1023" spans="1:8" x14ac:dyDescent="0.25">
      <c r="A1023" t="str">
        <f t="shared" si="15"/>
        <v>31-Jul-18</v>
      </c>
      <c r="B1023" t="s">
        <v>7</v>
      </c>
      <c r="C1023" t="s">
        <v>8</v>
      </c>
      <c r="D1023" t="str">
        <f>"020002101"</f>
        <v>020002101</v>
      </c>
      <c r="E1023" t="s">
        <v>1041</v>
      </c>
      <c r="F1023" t="s">
        <v>7</v>
      </c>
      <c r="G1023">
        <v>7.5999999999999998E-2</v>
      </c>
      <c r="H1023" t="s">
        <v>11</v>
      </c>
    </row>
    <row r="1024" spans="1:8" x14ac:dyDescent="0.25">
      <c r="A1024" t="str">
        <f t="shared" si="15"/>
        <v>31-Jul-18</v>
      </c>
      <c r="B1024" t="s">
        <v>7</v>
      </c>
      <c r="C1024" t="s">
        <v>8</v>
      </c>
      <c r="D1024" t="str">
        <f>"02005N100"</f>
        <v>02005N100</v>
      </c>
      <c r="E1024" t="s">
        <v>1042</v>
      </c>
      <c r="F1024" t="s">
        <v>7</v>
      </c>
      <c r="G1024">
        <v>2.5999999999999999E-2</v>
      </c>
      <c r="H1024" t="s">
        <v>11</v>
      </c>
    </row>
    <row r="1025" spans="1:8" x14ac:dyDescent="0.25">
      <c r="A1025" t="str">
        <f t="shared" si="15"/>
        <v>31-Jul-18</v>
      </c>
      <c r="B1025" t="s">
        <v>7</v>
      </c>
      <c r="C1025" t="s">
        <v>8</v>
      </c>
      <c r="D1025" t="str">
        <f>"02043Q107"</f>
        <v>02043Q107</v>
      </c>
      <c r="E1025" t="s">
        <v>1043</v>
      </c>
      <c r="F1025" t="s">
        <v>7</v>
      </c>
      <c r="G1025">
        <v>8.9999999999999993E-3</v>
      </c>
      <c r="H1025" t="s">
        <v>11</v>
      </c>
    </row>
    <row r="1026" spans="1:8" x14ac:dyDescent="0.25">
      <c r="A1026" t="str">
        <f t="shared" ref="A1026:A1089" si="16">"31-Jul-18"</f>
        <v>31-Jul-18</v>
      </c>
      <c r="B1026" t="s">
        <v>7</v>
      </c>
      <c r="C1026" t="s">
        <v>8</v>
      </c>
      <c r="D1026" t="str">
        <f>"02079K107"</f>
        <v>02079K107</v>
      </c>
      <c r="E1026" t="s">
        <v>1044</v>
      </c>
      <c r="F1026" t="s">
        <v>7</v>
      </c>
      <c r="G1026">
        <v>0.76800000000000002</v>
      </c>
      <c r="H1026" t="s">
        <v>11</v>
      </c>
    </row>
    <row r="1027" spans="1:8" x14ac:dyDescent="0.25">
      <c r="A1027" t="str">
        <f t="shared" si="16"/>
        <v>31-Jul-18</v>
      </c>
      <c r="B1027" t="s">
        <v>7</v>
      </c>
      <c r="C1027" t="s">
        <v>8</v>
      </c>
      <c r="D1027" t="str">
        <f>"02079K305"</f>
        <v>02079K305</v>
      </c>
      <c r="E1027" t="s">
        <v>1045</v>
      </c>
      <c r="F1027" t="s">
        <v>7</v>
      </c>
      <c r="G1027">
        <v>0.78800000000000003</v>
      </c>
      <c r="H1027" t="s">
        <v>11</v>
      </c>
    </row>
    <row r="1028" spans="1:8" x14ac:dyDescent="0.25">
      <c r="A1028" t="str">
        <f t="shared" si="16"/>
        <v>31-Jul-18</v>
      </c>
      <c r="B1028" t="s">
        <v>7</v>
      </c>
      <c r="C1028" t="s">
        <v>8</v>
      </c>
      <c r="D1028" t="str">
        <f>"02209S103"</f>
        <v>02209S103</v>
      </c>
      <c r="E1028" t="s">
        <v>1046</v>
      </c>
      <c r="F1028" t="s">
        <v>7</v>
      </c>
      <c r="G1028">
        <v>0.223</v>
      </c>
      <c r="H1028" t="s">
        <v>11</v>
      </c>
    </row>
    <row r="1029" spans="1:8" x14ac:dyDescent="0.25">
      <c r="A1029" t="str">
        <f t="shared" si="16"/>
        <v>31-Jul-18</v>
      </c>
      <c r="B1029" t="s">
        <v>7</v>
      </c>
      <c r="C1029" t="s">
        <v>8</v>
      </c>
      <c r="D1029" t="str">
        <f>"023135106"</f>
        <v>023135106</v>
      </c>
      <c r="E1029" t="s">
        <v>1047</v>
      </c>
      <c r="F1029" t="s">
        <v>7</v>
      </c>
      <c r="G1029">
        <v>1.504</v>
      </c>
      <c r="H1029" t="s">
        <v>11</v>
      </c>
    </row>
    <row r="1030" spans="1:8" x14ac:dyDescent="0.25">
      <c r="A1030" t="str">
        <f t="shared" si="16"/>
        <v>31-Jul-18</v>
      </c>
      <c r="B1030" t="s">
        <v>7</v>
      </c>
      <c r="C1030" t="s">
        <v>8</v>
      </c>
      <c r="D1030" t="str">
        <f>"023608102"</f>
        <v>023608102</v>
      </c>
      <c r="E1030" t="s">
        <v>1048</v>
      </c>
      <c r="F1030" t="s">
        <v>7</v>
      </c>
      <c r="G1030">
        <v>3.4000000000000002E-2</v>
      </c>
      <c r="H1030" t="s">
        <v>11</v>
      </c>
    </row>
    <row r="1031" spans="1:8" x14ac:dyDescent="0.25">
      <c r="A1031" t="str">
        <f t="shared" si="16"/>
        <v>31-Jul-18</v>
      </c>
      <c r="B1031" t="s">
        <v>7</v>
      </c>
      <c r="C1031" t="s">
        <v>8</v>
      </c>
      <c r="D1031" t="str">
        <f>"02376R102"</f>
        <v>02376R102</v>
      </c>
      <c r="E1031" t="s">
        <v>1049</v>
      </c>
      <c r="F1031" t="s">
        <v>7</v>
      </c>
      <c r="G1031">
        <v>6.0000000000000001E-3</v>
      </c>
      <c r="H1031" t="s">
        <v>11</v>
      </c>
    </row>
    <row r="1032" spans="1:8" x14ac:dyDescent="0.25">
      <c r="A1032" t="str">
        <f t="shared" si="16"/>
        <v>31-Jul-18</v>
      </c>
      <c r="B1032" t="s">
        <v>7</v>
      </c>
      <c r="C1032" t="s">
        <v>8</v>
      </c>
      <c r="D1032" t="str">
        <f>"025537101"</f>
        <v>025537101</v>
      </c>
      <c r="E1032" t="s">
        <v>1050</v>
      </c>
      <c r="F1032" t="s">
        <v>7</v>
      </c>
      <c r="G1032">
        <v>8.6999999999999994E-2</v>
      </c>
      <c r="H1032" t="s">
        <v>11</v>
      </c>
    </row>
    <row r="1033" spans="1:8" x14ac:dyDescent="0.25">
      <c r="A1033" t="str">
        <f t="shared" si="16"/>
        <v>31-Jul-18</v>
      </c>
      <c r="B1033" t="s">
        <v>7</v>
      </c>
      <c r="C1033" t="s">
        <v>8</v>
      </c>
      <c r="D1033" t="str">
        <f>"025816109"</f>
        <v>025816109</v>
      </c>
      <c r="E1033" t="s">
        <v>1051</v>
      </c>
      <c r="F1033" t="s">
        <v>7</v>
      </c>
      <c r="G1033">
        <v>0.27600000000000002</v>
      </c>
      <c r="H1033" t="s">
        <v>11</v>
      </c>
    </row>
    <row r="1034" spans="1:8" x14ac:dyDescent="0.25">
      <c r="A1034" t="str">
        <f t="shared" si="16"/>
        <v>31-Jul-18</v>
      </c>
      <c r="B1034" t="s">
        <v>7</v>
      </c>
      <c r="C1034" t="s">
        <v>8</v>
      </c>
      <c r="D1034" t="str">
        <f>"025932104"</f>
        <v>025932104</v>
      </c>
      <c r="E1034" t="s">
        <v>1052</v>
      </c>
      <c r="F1034" t="s">
        <v>7</v>
      </c>
      <c r="G1034">
        <v>0.02</v>
      </c>
      <c r="H1034" t="s">
        <v>11</v>
      </c>
    </row>
    <row r="1035" spans="1:8" x14ac:dyDescent="0.25">
      <c r="A1035" t="str">
        <f t="shared" si="16"/>
        <v>31-Jul-18</v>
      </c>
      <c r="B1035" t="s">
        <v>7</v>
      </c>
      <c r="C1035" t="s">
        <v>8</v>
      </c>
      <c r="D1035" t="str">
        <f>"026874784"</f>
        <v>026874784</v>
      </c>
      <c r="E1035" t="s">
        <v>1053</v>
      </c>
      <c r="F1035" t="s">
        <v>7</v>
      </c>
      <c r="G1035">
        <v>0.106</v>
      </c>
      <c r="H1035" t="s">
        <v>11</v>
      </c>
    </row>
    <row r="1036" spans="1:8" x14ac:dyDescent="0.25">
      <c r="A1036" t="str">
        <f t="shared" si="16"/>
        <v>31-Jul-18</v>
      </c>
      <c r="B1036" t="s">
        <v>7</v>
      </c>
      <c r="C1036" t="s">
        <v>8</v>
      </c>
      <c r="D1036" t="str">
        <f>"03027X100"</f>
        <v>03027X100</v>
      </c>
      <c r="E1036" t="s">
        <v>1054</v>
      </c>
      <c r="F1036" t="s">
        <v>7</v>
      </c>
      <c r="G1036">
        <v>0.26200000000000001</v>
      </c>
      <c r="H1036" t="s">
        <v>11</v>
      </c>
    </row>
    <row r="1037" spans="1:8" x14ac:dyDescent="0.25">
      <c r="A1037" t="str">
        <f t="shared" si="16"/>
        <v>31-Jul-18</v>
      </c>
      <c r="B1037" t="s">
        <v>7</v>
      </c>
      <c r="C1037" t="s">
        <v>8</v>
      </c>
      <c r="D1037" t="str">
        <f>"030420103"</f>
        <v>030420103</v>
      </c>
      <c r="E1037" t="s">
        <v>1055</v>
      </c>
      <c r="F1037" t="s">
        <v>7</v>
      </c>
      <c r="G1037">
        <v>4.2000000000000003E-2</v>
      </c>
      <c r="H1037" t="s">
        <v>11</v>
      </c>
    </row>
    <row r="1038" spans="1:8" x14ac:dyDescent="0.25">
      <c r="A1038" t="str">
        <f t="shared" si="16"/>
        <v>31-Jul-18</v>
      </c>
      <c r="B1038" t="s">
        <v>7</v>
      </c>
      <c r="C1038" t="s">
        <v>8</v>
      </c>
      <c r="D1038" t="str">
        <f>"03076C106"</f>
        <v>03076C106</v>
      </c>
      <c r="E1038" t="s">
        <v>1056</v>
      </c>
      <c r="F1038" t="s">
        <v>7</v>
      </c>
      <c r="G1038">
        <v>5.1999999999999998E-2</v>
      </c>
      <c r="H1038" t="s">
        <v>11</v>
      </c>
    </row>
    <row r="1039" spans="1:8" x14ac:dyDescent="0.25">
      <c r="A1039" t="str">
        <f t="shared" si="16"/>
        <v>31-Jul-18</v>
      </c>
      <c r="B1039" t="s">
        <v>7</v>
      </c>
      <c r="C1039" t="s">
        <v>8</v>
      </c>
      <c r="D1039" t="str">
        <f>"03073E105"</f>
        <v>03073E105</v>
      </c>
      <c r="E1039" t="s">
        <v>1057</v>
      </c>
      <c r="F1039" t="s">
        <v>7</v>
      </c>
      <c r="G1039">
        <v>2.1999999999999999E-2</v>
      </c>
      <c r="H1039" t="s">
        <v>11</v>
      </c>
    </row>
    <row r="1040" spans="1:8" x14ac:dyDescent="0.25">
      <c r="A1040" t="str">
        <f t="shared" si="16"/>
        <v>31-Jul-18</v>
      </c>
      <c r="B1040" t="s">
        <v>7</v>
      </c>
      <c r="C1040" t="s">
        <v>8</v>
      </c>
      <c r="D1040" t="str">
        <f>"031162100"</f>
        <v>031162100</v>
      </c>
      <c r="E1040" t="s">
        <v>1058</v>
      </c>
      <c r="F1040" t="s">
        <v>7</v>
      </c>
      <c r="G1040">
        <v>0.28399999999999997</v>
      </c>
      <c r="H1040" t="s">
        <v>11</v>
      </c>
    </row>
    <row r="1041" spans="1:8" x14ac:dyDescent="0.25">
      <c r="A1041" t="str">
        <f t="shared" si="16"/>
        <v>31-Jul-18</v>
      </c>
      <c r="B1041" t="s">
        <v>7</v>
      </c>
      <c r="C1041" t="s">
        <v>8</v>
      </c>
      <c r="D1041" t="str">
        <f>"032095101"</f>
        <v>032095101</v>
      </c>
      <c r="E1041" t="s">
        <v>1059</v>
      </c>
      <c r="F1041" t="s">
        <v>7</v>
      </c>
      <c r="G1041">
        <v>6.2E-2</v>
      </c>
      <c r="H1041" t="s">
        <v>11</v>
      </c>
    </row>
    <row r="1042" spans="1:8" x14ac:dyDescent="0.25">
      <c r="A1042" t="str">
        <f t="shared" si="16"/>
        <v>31-Jul-18</v>
      </c>
      <c r="B1042" t="s">
        <v>7</v>
      </c>
      <c r="C1042" t="s">
        <v>8</v>
      </c>
      <c r="D1042" t="str">
        <f>"032511107"</f>
        <v>032511107</v>
      </c>
      <c r="E1042" t="s">
        <v>1060</v>
      </c>
      <c r="F1042" t="s">
        <v>7</v>
      </c>
      <c r="G1042">
        <v>4.3999999999999997E-2</v>
      </c>
      <c r="H1042" t="s">
        <v>11</v>
      </c>
    </row>
    <row r="1043" spans="1:8" x14ac:dyDescent="0.25">
      <c r="A1043" t="str">
        <f t="shared" si="16"/>
        <v>31-Jul-18</v>
      </c>
      <c r="B1043" t="s">
        <v>7</v>
      </c>
      <c r="C1043" t="s">
        <v>8</v>
      </c>
      <c r="D1043" t="str">
        <f>"032654105"</f>
        <v>032654105</v>
      </c>
      <c r="E1043" t="s">
        <v>1061</v>
      </c>
      <c r="F1043" t="s">
        <v>7</v>
      </c>
      <c r="G1043">
        <v>7.3999999999999996E-2</v>
      </c>
      <c r="H1043" t="s">
        <v>11</v>
      </c>
    </row>
    <row r="1044" spans="1:8" x14ac:dyDescent="0.25">
      <c r="A1044" t="str">
        <f t="shared" si="16"/>
        <v>31-Jul-18</v>
      </c>
      <c r="B1044" t="s">
        <v>7</v>
      </c>
      <c r="C1044" t="s">
        <v>8</v>
      </c>
      <c r="D1044" t="str">
        <f>"03349M105"</f>
        <v>03349M105</v>
      </c>
      <c r="E1044" t="s">
        <v>1062</v>
      </c>
      <c r="F1044" t="s">
        <v>7</v>
      </c>
      <c r="G1044">
        <v>4.2000000000000003E-2</v>
      </c>
      <c r="H1044" t="s">
        <v>11</v>
      </c>
    </row>
    <row r="1045" spans="1:8" x14ac:dyDescent="0.25">
      <c r="A1045" t="str">
        <f t="shared" si="16"/>
        <v>31-Jul-18</v>
      </c>
      <c r="B1045" t="s">
        <v>7</v>
      </c>
      <c r="C1045" t="s">
        <v>8</v>
      </c>
      <c r="D1045" t="str">
        <f>"035710409"</f>
        <v>035710409</v>
      </c>
      <c r="E1045" t="s">
        <v>1063</v>
      </c>
      <c r="F1045" t="s">
        <v>7</v>
      </c>
      <c r="G1045">
        <v>0.01</v>
      </c>
      <c r="H1045" t="s">
        <v>11</v>
      </c>
    </row>
    <row r="1046" spans="1:8" x14ac:dyDescent="0.25">
      <c r="A1046" t="str">
        <f t="shared" si="16"/>
        <v>31-Jul-18</v>
      </c>
      <c r="B1046" t="s">
        <v>7</v>
      </c>
      <c r="C1046" t="s">
        <v>8</v>
      </c>
      <c r="D1046" t="str">
        <f>"03674X106"</f>
        <v>03674X106</v>
      </c>
      <c r="E1046" t="s">
        <v>1064</v>
      </c>
      <c r="F1046" t="s">
        <v>7</v>
      </c>
      <c r="G1046">
        <v>8.9999999999999993E-3</v>
      </c>
      <c r="H1046" t="s">
        <v>11</v>
      </c>
    </row>
    <row r="1047" spans="1:8" x14ac:dyDescent="0.25">
      <c r="A1047" t="str">
        <f t="shared" si="16"/>
        <v>31-Jul-18</v>
      </c>
      <c r="B1047" t="s">
        <v>7</v>
      </c>
      <c r="C1047" t="s">
        <v>8</v>
      </c>
      <c r="D1047" t="str">
        <f>"036752103"</f>
        <v>036752103</v>
      </c>
      <c r="E1047" t="s">
        <v>1065</v>
      </c>
      <c r="F1047" t="s">
        <v>7</v>
      </c>
      <c r="G1047">
        <v>0.14000000000000001</v>
      </c>
      <c r="H1047" t="s">
        <v>11</v>
      </c>
    </row>
    <row r="1048" spans="1:8" x14ac:dyDescent="0.25">
      <c r="A1048" t="str">
        <f t="shared" si="16"/>
        <v>31-Jul-18</v>
      </c>
      <c r="B1048" t="s">
        <v>7</v>
      </c>
      <c r="C1048" t="s">
        <v>8</v>
      </c>
      <c r="D1048" t="str">
        <f>"G0408V102"</f>
        <v>G0408V102</v>
      </c>
      <c r="E1048" t="s">
        <v>1066</v>
      </c>
      <c r="F1048" t="s">
        <v>7</v>
      </c>
      <c r="G1048">
        <v>8.5000000000000006E-2</v>
      </c>
      <c r="H1048" t="s">
        <v>11</v>
      </c>
    </row>
    <row r="1049" spans="1:8" x14ac:dyDescent="0.25">
      <c r="A1049" t="str">
        <f t="shared" si="16"/>
        <v>31-Jul-18</v>
      </c>
      <c r="B1049" t="s">
        <v>7</v>
      </c>
      <c r="C1049" t="s">
        <v>8</v>
      </c>
      <c r="D1049" t="str">
        <f>"037411105"</f>
        <v>037411105</v>
      </c>
      <c r="E1049" t="s">
        <v>1067</v>
      </c>
      <c r="F1049" t="s">
        <v>7</v>
      </c>
      <c r="G1049">
        <v>4.2000000000000003E-2</v>
      </c>
      <c r="H1049" t="s">
        <v>11</v>
      </c>
    </row>
    <row r="1050" spans="1:8" x14ac:dyDescent="0.25">
      <c r="A1050" t="str">
        <f t="shared" si="16"/>
        <v>31-Jul-18</v>
      </c>
      <c r="B1050" t="s">
        <v>7</v>
      </c>
      <c r="C1050" t="s">
        <v>8</v>
      </c>
      <c r="D1050" t="str">
        <f>"037833100"</f>
        <v>037833100</v>
      </c>
      <c r="E1050" t="s">
        <v>1068</v>
      </c>
      <c r="F1050" t="s">
        <v>7</v>
      </c>
      <c r="G1050">
        <v>1.988</v>
      </c>
      <c r="H1050" t="s">
        <v>11</v>
      </c>
    </row>
    <row r="1051" spans="1:8" x14ac:dyDescent="0.25">
      <c r="A1051" t="str">
        <f t="shared" si="16"/>
        <v>31-Jul-18</v>
      </c>
      <c r="B1051" t="s">
        <v>7</v>
      </c>
      <c r="C1051" t="s">
        <v>8</v>
      </c>
      <c r="D1051" t="str">
        <f>"038222105"</f>
        <v>038222105</v>
      </c>
      <c r="E1051" t="s">
        <v>1069</v>
      </c>
      <c r="F1051" t="s">
        <v>7</v>
      </c>
      <c r="G1051">
        <v>0.20899999999999999</v>
      </c>
      <c r="H1051" t="s">
        <v>11</v>
      </c>
    </row>
    <row r="1052" spans="1:8" x14ac:dyDescent="0.25">
      <c r="A1052" t="str">
        <f t="shared" si="16"/>
        <v>31-Jul-18</v>
      </c>
      <c r="B1052" t="s">
        <v>7</v>
      </c>
      <c r="C1052" t="s">
        <v>8</v>
      </c>
      <c r="D1052" t="str">
        <f>"G6095L109"</f>
        <v>G6095L109</v>
      </c>
      <c r="E1052" t="s">
        <v>1070</v>
      </c>
      <c r="F1052" t="s">
        <v>7</v>
      </c>
      <c r="G1052">
        <v>0.06</v>
      </c>
      <c r="H1052" t="s">
        <v>11</v>
      </c>
    </row>
    <row r="1053" spans="1:8" x14ac:dyDescent="0.25">
      <c r="A1053" t="str">
        <f t="shared" si="16"/>
        <v>31-Jul-18</v>
      </c>
      <c r="B1053" t="s">
        <v>7</v>
      </c>
      <c r="C1053" t="s">
        <v>8</v>
      </c>
      <c r="D1053" t="str">
        <f>"03852U106"</f>
        <v>03852U106</v>
      </c>
      <c r="E1053" t="s">
        <v>1071</v>
      </c>
      <c r="F1053" t="s">
        <v>7</v>
      </c>
      <c r="G1053">
        <v>0.02</v>
      </c>
      <c r="H1053" t="s">
        <v>11</v>
      </c>
    </row>
    <row r="1054" spans="1:8" x14ac:dyDescent="0.25">
      <c r="A1054" t="str">
        <f t="shared" si="16"/>
        <v>31-Jul-18</v>
      </c>
      <c r="B1054" t="s">
        <v>7</v>
      </c>
      <c r="C1054" t="s">
        <v>8</v>
      </c>
      <c r="D1054" t="str">
        <f>"G0450A105"</f>
        <v>G0450A105</v>
      </c>
      <c r="E1054" t="s">
        <v>1072</v>
      </c>
      <c r="F1054" t="s">
        <v>7</v>
      </c>
      <c r="G1054">
        <v>2.5000000000000001E-2</v>
      </c>
      <c r="H1054" t="s">
        <v>11</v>
      </c>
    </row>
    <row r="1055" spans="1:8" x14ac:dyDescent="0.25">
      <c r="A1055" t="str">
        <f t="shared" si="16"/>
        <v>31-Jul-18</v>
      </c>
      <c r="B1055" t="s">
        <v>7</v>
      </c>
      <c r="C1055" t="s">
        <v>8</v>
      </c>
      <c r="D1055" t="str">
        <f>"039483102"</f>
        <v>039483102</v>
      </c>
      <c r="E1055" t="s">
        <v>1073</v>
      </c>
      <c r="F1055" t="s">
        <v>7</v>
      </c>
      <c r="G1055">
        <v>4.3999999999999997E-2</v>
      </c>
      <c r="H1055" t="s">
        <v>11</v>
      </c>
    </row>
    <row r="1056" spans="1:8" x14ac:dyDescent="0.25">
      <c r="A1056" t="str">
        <f t="shared" si="16"/>
        <v>31-Jul-18</v>
      </c>
      <c r="B1056" t="s">
        <v>7</v>
      </c>
      <c r="C1056" t="s">
        <v>8</v>
      </c>
      <c r="D1056" t="str">
        <f>"03965L100"</f>
        <v>03965L100</v>
      </c>
      <c r="E1056" t="s">
        <v>1074</v>
      </c>
      <c r="F1056" t="s">
        <v>7</v>
      </c>
      <c r="G1056">
        <v>2.4E-2</v>
      </c>
      <c r="H1056" t="s">
        <v>11</v>
      </c>
    </row>
    <row r="1057" spans="1:8" x14ac:dyDescent="0.25">
      <c r="A1057" t="str">
        <f t="shared" si="16"/>
        <v>31-Jul-18</v>
      </c>
      <c r="B1057" t="s">
        <v>7</v>
      </c>
      <c r="C1057" t="s">
        <v>8</v>
      </c>
      <c r="D1057" t="str">
        <f>"040413106"</f>
        <v>040413106</v>
      </c>
      <c r="E1057" t="s">
        <v>1075</v>
      </c>
      <c r="F1057" t="s">
        <v>7</v>
      </c>
      <c r="G1057">
        <v>2.1000000000000001E-2</v>
      </c>
      <c r="H1057" t="s">
        <v>11</v>
      </c>
    </row>
    <row r="1058" spans="1:8" x14ac:dyDescent="0.25">
      <c r="A1058" t="str">
        <f t="shared" si="16"/>
        <v>31-Jul-18</v>
      </c>
      <c r="B1058" t="s">
        <v>7</v>
      </c>
      <c r="C1058" t="s">
        <v>8</v>
      </c>
      <c r="D1058" t="str">
        <f>"042735100"</f>
        <v>042735100</v>
      </c>
      <c r="E1058" t="s">
        <v>1076</v>
      </c>
      <c r="F1058" t="s">
        <v>7</v>
      </c>
      <c r="G1058">
        <v>8.0000000000000002E-3</v>
      </c>
      <c r="H1058" t="s">
        <v>11</v>
      </c>
    </row>
    <row r="1059" spans="1:8" x14ac:dyDescent="0.25">
      <c r="A1059" t="str">
        <f t="shared" si="16"/>
        <v>31-Jul-18</v>
      </c>
      <c r="B1059" t="s">
        <v>7</v>
      </c>
      <c r="C1059" t="s">
        <v>8</v>
      </c>
      <c r="D1059" t="str">
        <f>"363576109"</f>
        <v>363576109</v>
      </c>
      <c r="E1059" t="s">
        <v>1077</v>
      </c>
      <c r="F1059" t="s">
        <v>7</v>
      </c>
      <c r="G1059">
        <v>3.5000000000000003E-2</v>
      </c>
      <c r="H1059" t="s">
        <v>11</v>
      </c>
    </row>
    <row r="1060" spans="1:8" x14ac:dyDescent="0.25">
      <c r="A1060" t="str">
        <f t="shared" si="16"/>
        <v>31-Jul-18</v>
      </c>
      <c r="B1060" t="s">
        <v>7</v>
      </c>
      <c r="C1060" t="s">
        <v>8</v>
      </c>
      <c r="D1060" t="str">
        <f>"04621X108"</f>
        <v>04621X108</v>
      </c>
      <c r="E1060" t="s">
        <v>1078</v>
      </c>
      <c r="F1060" t="s">
        <v>7</v>
      </c>
      <c r="G1060">
        <v>8.9999999999999993E-3</v>
      </c>
      <c r="H1060" t="s">
        <v>11</v>
      </c>
    </row>
    <row r="1061" spans="1:8" x14ac:dyDescent="0.25">
      <c r="A1061" t="str">
        <f t="shared" si="16"/>
        <v>31-Jul-18</v>
      </c>
      <c r="B1061" t="s">
        <v>7</v>
      </c>
      <c r="C1061" t="s">
        <v>8</v>
      </c>
      <c r="D1061" t="str">
        <f>"G0684D107"</f>
        <v>G0684D107</v>
      </c>
      <c r="E1061" t="s">
        <v>1079</v>
      </c>
      <c r="F1061" t="s">
        <v>7</v>
      </c>
      <c r="G1061">
        <v>5.0000000000000001E-3</v>
      </c>
      <c r="H1061" t="s">
        <v>11</v>
      </c>
    </row>
    <row r="1062" spans="1:8" x14ac:dyDescent="0.25">
      <c r="A1062" t="str">
        <f t="shared" si="16"/>
        <v>31-Jul-18</v>
      </c>
      <c r="B1062" t="s">
        <v>7</v>
      </c>
      <c r="C1062" t="s">
        <v>8</v>
      </c>
      <c r="D1062" t="str">
        <f>"049560105"</f>
        <v>049560105</v>
      </c>
      <c r="E1062" t="s">
        <v>1080</v>
      </c>
      <c r="F1062" t="s">
        <v>7</v>
      </c>
      <c r="G1062">
        <v>2.4E-2</v>
      </c>
      <c r="H1062" t="s">
        <v>11</v>
      </c>
    </row>
    <row r="1063" spans="1:8" x14ac:dyDescent="0.25">
      <c r="A1063" t="str">
        <f t="shared" si="16"/>
        <v>31-Jul-18</v>
      </c>
      <c r="B1063" t="s">
        <v>7</v>
      </c>
      <c r="C1063" t="s">
        <v>8</v>
      </c>
      <c r="D1063" t="str">
        <f>"053332102"</f>
        <v>053332102</v>
      </c>
      <c r="E1063" t="s">
        <v>1081</v>
      </c>
      <c r="F1063" t="s">
        <v>7</v>
      </c>
      <c r="G1063">
        <v>1.9E-2</v>
      </c>
      <c r="H1063" t="s">
        <v>11</v>
      </c>
    </row>
    <row r="1064" spans="1:8" x14ac:dyDescent="0.25">
      <c r="A1064" t="str">
        <f t="shared" si="16"/>
        <v>31-Jul-18</v>
      </c>
      <c r="B1064" t="s">
        <v>7</v>
      </c>
      <c r="C1064" t="s">
        <v>8</v>
      </c>
      <c r="D1064" t="str">
        <f>"052769106"</f>
        <v>052769106</v>
      </c>
      <c r="E1064" t="s">
        <v>1082</v>
      </c>
      <c r="F1064" t="s">
        <v>7</v>
      </c>
      <c r="G1064">
        <v>0.113</v>
      </c>
      <c r="H1064" t="s">
        <v>11</v>
      </c>
    </row>
    <row r="1065" spans="1:8" x14ac:dyDescent="0.25">
      <c r="A1065" t="str">
        <f t="shared" si="16"/>
        <v>31-Jul-18</v>
      </c>
      <c r="B1065" t="s">
        <v>7</v>
      </c>
      <c r="C1065" t="s">
        <v>8</v>
      </c>
      <c r="D1065" t="str">
        <f>"052800109"</f>
        <v>052800109</v>
      </c>
      <c r="E1065" t="s">
        <v>1083</v>
      </c>
      <c r="F1065" t="s">
        <v>7</v>
      </c>
      <c r="G1065">
        <v>2.1000000000000001E-2</v>
      </c>
      <c r="H1065" t="s">
        <v>11</v>
      </c>
    </row>
    <row r="1066" spans="1:8" x14ac:dyDescent="0.25">
      <c r="A1066" t="str">
        <f t="shared" si="16"/>
        <v>31-Jul-18</v>
      </c>
      <c r="B1066" t="s">
        <v>7</v>
      </c>
      <c r="C1066" t="s">
        <v>8</v>
      </c>
      <c r="D1066" t="str">
        <f>"053015103"</f>
        <v>053015103</v>
      </c>
      <c r="E1066" t="s">
        <v>1084</v>
      </c>
      <c r="F1066" t="s">
        <v>7</v>
      </c>
      <c r="G1066">
        <v>0.104</v>
      </c>
      <c r="H1066" t="s">
        <v>11</v>
      </c>
    </row>
    <row r="1067" spans="1:8" x14ac:dyDescent="0.25">
      <c r="A1067" t="str">
        <f t="shared" si="16"/>
        <v>31-Jul-18</v>
      </c>
      <c r="B1067" t="s">
        <v>7</v>
      </c>
      <c r="C1067" t="s">
        <v>8</v>
      </c>
      <c r="D1067" t="str">
        <f>"053484101"</f>
        <v>053484101</v>
      </c>
      <c r="E1067" t="s">
        <v>1085</v>
      </c>
      <c r="F1067" t="s">
        <v>7</v>
      </c>
      <c r="G1067">
        <v>0.06</v>
      </c>
      <c r="H1067" t="s">
        <v>11</v>
      </c>
    </row>
    <row r="1068" spans="1:8" x14ac:dyDescent="0.25">
      <c r="A1068" t="str">
        <f t="shared" si="16"/>
        <v>31-Jul-18</v>
      </c>
      <c r="B1068" t="s">
        <v>7</v>
      </c>
      <c r="C1068" t="s">
        <v>8</v>
      </c>
      <c r="D1068" t="str">
        <f>"053611109"</f>
        <v>053611109</v>
      </c>
      <c r="E1068" t="s">
        <v>1086</v>
      </c>
      <c r="F1068" t="s">
        <v>7</v>
      </c>
      <c r="G1068">
        <v>0.02</v>
      </c>
      <c r="H1068" t="s">
        <v>11</v>
      </c>
    </row>
    <row r="1069" spans="1:8" x14ac:dyDescent="0.25">
      <c r="A1069" t="str">
        <f t="shared" si="16"/>
        <v>31-Jul-18</v>
      </c>
      <c r="B1069" t="s">
        <v>7</v>
      </c>
      <c r="C1069" t="s">
        <v>8</v>
      </c>
      <c r="D1069" t="str">
        <f>"053807103"</f>
        <v>053807103</v>
      </c>
      <c r="E1069" t="s">
        <v>1087</v>
      </c>
      <c r="F1069" t="s">
        <v>7</v>
      </c>
      <c r="G1069">
        <v>8.0000000000000002E-3</v>
      </c>
      <c r="H1069" t="s">
        <v>11</v>
      </c>
    </row>
    <row r="1070" spans="1:8" x14ac:dyDescent="0.25">
      <c r="A1070" t="str">
        <f t="shared" si="16"/>
        <v>31-Jul-18</v>
      </c>
      <c r="B1070" t="s">
        <v>7</v>
      </c>
      <c r="C1070" t="s">
        <v>8</v>
      </c>
      <c r="D1070" t="str">
        <f>"G0750C108"</f>
        <v>G0750C108</v>
      </c>
      <c r="E1070" t="s">
        <v>1088</v>
      </c>
      <c r="F1070" t="s">
        <v>7</v>
      </c>
      <c r="G1070">
        <v>0.02</v>
      </c>
      <c r="H1070" t="s">
        <v>11</v>
      </c>
    </row>
    <row r="1071" spans="1:8" x14ac:dyDescent="0.25">
      <c r="A1071" t="str">
        <f t="shared" si="16"/>
        <v>31-Jul-18</v>
      </c>
      <c r="B1071" t="s">
        <v>7</v>
      </c>
      <c r="C1071" t="s">
        <v>8</v>
      </c>
      <c r="D1071" t="str">
        <f>"G0692U109"</f>
        <v>G0692U109</v>
      </c>
      <c r="E1071" t="s">
        <v>1089</v>
      </c>
      <c r="F1071" t="s">
        <v>7</v>
      </c>
      <c r="G1071">
        <v>0.01</v>
      </c>
      <c r="H1071" t="s">
        <v>11</v>
      </c>
    </row>
    <row r="1072" spans="1:8" x14ac:dyDescent="0.25">
      <c r="A1072" t="str">
        <f t="shared" si="16"/>
        <v>31-Jul-18</v>
      </c>
      <c r="B1072" t="s">
        <v>7</v>
      </c>
      <c r="C1072" t="s">
        <v>8</v>
      </c>
      <c r="D1072" t="str">
        <f>"054937107"</f>
        <v>054937107</v>
      </c>
      <c r="E1072" t="s">
        <v>1090</v>
      </c>
      <c r="F1072" t="s">
        <v>7</v>
      </c>
      <c r="G1072">
        <v>9.9000000000000005E-2</v>
      </c>
      <c r="H1072" t="s">
        <v>11</v>
      </c>
    </row>
    <row r="1073" spans="1:8" x14ac:dyDescent="0.25">
      <c r="A1073" t="str">
        <f t="shared" si="16"/>
        <v>31-Jul-18</v>
      </c>
      <c r="B1073" t="s">
        <v>7</v>
      </c>
      <c r="C1073" t="s">
        <v>8</v>
      </c>
      <c r="D1073" t="str">
        <f>"05722G100"</f>
        <v>05722G100</v>
      </c>
      <c r="E1073" t="s">
        <v>1091</v>
      </c>
      <c r="F1073" t="s">
        <v>7</v>
      </c>
      <c r="G1073">
        <v>0.06</v>
      </c>
      <c r="H1073" t="s">
        <v>11</v>
      </c>
    </row>
    <row r="1074" spans="1:8" x14ac:dyDescent="0.25">
      <c r="A1074" t="str">
        <f t="shared" si="16"/>
        <v>31-Jul-18</v>
      </c>
      <c r="B1074" t="s">
        <v>7</v>
      </c>
      <c r="C1074" t="s">
        <v>8</v>
      </c>
      <c r="D1074" t="str">
        <f>"058498106"</f>
        <v>058498106</v>
      </c>
      <c r="E1074" t="s">
        <v>1092</v>
      </c>
      <c r="F1074" t="s">
        <v>7</v>
      </c>
      <c r="G1074">
        <v>2.1000000000000001E-2</v>
      </c>
      <c r="H1074" t="s">
        <v>11</v>
      </c>
    </row>
    <row r="1075" spans="1:8" x14ac:dyDescent="0.25">
      <c r="A1075" t="str">
        <f t="shared" si="16"/>
        <v>31-Jul-18</v>
      </c>
      <c r="B1075" t="s">
        <v>7</v>
      </c>
      <c r="C1075" t="s">
        <v>8</v>
      </c>
      <c r="D1075" t="str">
        <f>"071813109"</f>
        <v>071813109</v>
      </c>
      <c r="E1075" t="s">
        <v>1093</v>
      </c>
      <c r="F1075" t="s">
        <v>7</v>
      </c>
      <c r="G1075">
        <v>4.5999999999999999E-2</v>
      </c>
      <c r="H1075" t="s">
        <v>11</v>
      </c>
    </row>
    <row r="1076" spans="1:8" x14ac:dyDescent="0.25">
      <c r="A1076" t="str">
        <f t="shared" si="16"/>
        <v>31-Jul-18</v>
      </c>
      <c r="B1076" t="s">
        <v>7</v>
      </c>
      <c r="C1076" t="s">
        <v>8</v>
      </c>
      <c r="D1076" t="str">
        <f>"075887109"</f>
        <v>075887109</v>
      </c>
      <c r="E1076" t="s">
        <v>1094</v>
      </c>
      <c r="F1076" t="s">
        <v>7</v>
      </c>
      <c r="G1076">
        <v>0.153</v>
      </c>
      <c r="H1076" t="s">
        <v>11</v>
      </c>
    </row>
    <row r="1077" spans="1:8" x14ac:dyDescent="0.25">
      <c r="A1077" t="str">
        <f t="shared" si="16"/>
        <v>31-Jul-18</v>
      </c>
      <c r="B1077" t="s">
        <v>7</v>
      </c>
      <c r="C1077" t="s">
        <v>8</v>
      </c>
      <c r="D1077" t="str">
        <f>"084670702"</f>
        <v>084670702</v>
      </c>
      <c r="E1077" t="s">
        <v>1095</v>
      </c>
      <c r="F1077" t="s">
        <v>7</v>
      </c>
      <c r="G1077">
        <v>0.53700000000000003</v>
      </c>
      <c r="H1077" t="s">
        <v>11</v>
      </c>
    </row>
    <row r="1078" spans="1:8" x14ac:dyDescent="0.25">
      <c r="A1078" t="str">
        <f t="shared" si="16"/>
        <v>31-Jul-18</v>
      </c>
      <c r="B1078" t="s">
        <v>7</v>
      </c>
      <c r="C1078" t="s">
        <v>8</v>
      </c>
      <c r="D1078" t="str">
        <f>"086516101"</f>
        <v>086516101</v>
      </c>
      <c r="E1078" t="s">
        <v>1096</v>
      </c>
      <c r="F1078" t="s">
        <v>7</v>
      </c>
      <c r="G1078">
        <v>8.6999999999999994E-2</v>
      </c>
      <c r="H1078" t="s">
        <v>11</v>
      </c>
    </row>
    <row r="1079" spans="1:8" x14ac:dyDescent="0.25">
      <c r="A1079" t="str">
        <f t="shared" si="16"/>
        <v>31-Jul-18</v>
      </c>
      <c r="B1079" t="s">
        <v>7</v>
      </c>
      <c r="C1079" t="s">
        <v>8</v>
      </c>
      <c r="D1079" t="str">
        <f>"09061G101"</f>
        <v>09061G101</v>
      </c>
      <c r="E1079" t="s">
        <v>1097</v>
      </c>
      <c r="F1079" t="s">
        <v>7</v>
      </c>
      <c r="G1079">
        <v>4.3999999999999997E-2</v>
      </c>
      <c r="H1079" t="s">
        <v>11</v>
      </c>
    </row>
    <row r="1080" spans="1:8" x14ac:dyDescent="0.25">
      <c r="A1080" t="str">
        <f t="shared" si="16"/>
        <v>31-Jul-18</v>
      </c>
      <c r="B1080" t="s">
        <v>7</v>
      </c>
      <c r="C1080" t="s">
        <v>8</v>
      </c>
      <c r="D1080" t="str">
        <f>"09062X103"</f>
        <v>09062X103</v>
      </c>
      <c r="E1080" t="s">
        <v>1098</v>
      </c>
      <c r="F1080" t="s">
        <v>7</v>
      </c>
      <c r="G1080">
        <v>0.151</v>
      </c>
      <c r="H1080" t="s">
        <v>11</v>
      </c>
    </row>
    <row r="1081" spans="1:8" x14ac:dyDescent="0.25">
      <c r="A1081" t="str">
        <f t="shared" si="16"/>
        <v>31-Jul-18</v>
      </c>
      <c r="B1081" t="s">
        <v>7</v>
      </c>
      <c r="C1081" t="s">
        <v>8</v>
      </c>
      <c r="D1081" t="str">
        <f>"060505104"</f>
        <v>060505104</v>
      </c>
      <c r="E1081" t="s">
        <v>1099</v>
      </c>
      <c r="F1081" t="s">
        <v>7</v>
      </c>
      <c r="G1081">
        <v>0.63200000000000001</v>
      </c>
      <c r="H1081" t="s">
        <v>11</v>
      </c>
    </row>
    <row r="1082" spans="1:8" x14ac:dyDescent="0.25">
      <c r="A1082" t="str">
        <f t="shared" si="16"/>
        <v>31-Jul-18</v>
      </c>
      <c r="B1082" t="s">
        <v>7</v>
      </c>
      <c r="C1082" t="s">
        <v>8</v>
      </c>
      <c r="D1082" t="str">
        <f>"064058100"</f>
        <v>064058100</v>
      </c>
      <c r="E1082" t="s">
        <v>1100</v>
      </c>
      <c r="F1082" t="s">
        <v>7</v>
      </c>
      <c r="G1082">
        <v>0.11899999999999999</v>
      </c>
      <c r="H1082" t="s">
        <v>11</v>
      </c>
    </row>
    <row r="1083" spans="1:8" x14ac:dyDescent="0.25">
      <c r="A1083" t="str">
        <f t="shared" si="16"/>
        <v>31-Jul-18</v>
      </c>
      <c r="B1083" t="s">
        <v>7</v>
      </c>
      <c r="C1083" t="s">
        <v>8</v>
      </c>
      <c r="D1083" t="str">
        <f>"09247X101"</f>
        <v>09247X101</v>
      </c>
      <c r="E1083" t="s">
        <v>1101</v>
      </c>
      <c r="F1083" t="s">
        <v>7</v>
      </c>
      <c r="G1083">
        <v>0.26500000000000001</v>
      </c>
      <c r="H1083" t="s">
        <v>11</v>
      </c>
    </row>
    <row r="1084" spans="1:8" x14ac:dyDescent="0.25">
      <c r="A1084" t="str">
        <f t="shared" si="16"/>
        <v>31-Jul-18</v>
      </c>
      <c r="B1084" t="s">
        <v>7</v>
      </c>
      <c r="C1084" t="s">
        <v>8</v>
      </c>
      <c r="D1084" t="str">
        <f>"09857L108"</f>
        <v>09857L108</v>
      </c>
      <c r="E1084" t="s">
        <v>1102</v>
      </c>
      <c r="F1084" t="s">
        <v>7</v>
      </c>
      <c r="G1084">
        <v>0.219</v>
      </c>
      <c r="H1084" t="s">
        <v>11</v>
      </c>
    </row>
    <row r="1085" spans="1:8" x14ac:dyDescent="0.25">
      <c r="A1085" t="str">
        <f t="shared" si="16"/>
        <v>31-Jul-18</v>
      </c>
      <c r="B1085" t="s">
        <v>7</v>
      </c>
      <c r="C1085" t="s">
        <v>8</v>
      </c>
      <c r="D1085" t="str">
        <f>"099724106"</f>
        <v>099724106</v>
      </c>
      <c r="E1085" t="s">
        <v>1103</v>
      </c>
      <c r="F1085" t="s">
        <v>7</v>
      </c>
      <c r="G1085">
        <v>1.6E-2</v>
      </c>
      <c r="H1085" t="s">
        <v>11</v>
      </c>
    </row>
    <row r="1086" spans="1:8" x14ac:dyDescent="0.25">
      <c r="A1086" t="str">
        <f t="shared" si="16"/>
        <v>31-Jul-18</v>
      </c>
      <c r="B1086" t="s">
        <v>7</v>
      </c>
      <c r="C1086" t="s">
        <v>8</v>
      </c>
      <c r="D1086" t="str">
        <f>"101121101"</f>
        <v>101121101</v>
      </c>
      <c r="E1086" t="s">
        <v>1104</v>
      </c>
      <c r="F1086" t="s">
        <v>7</v>
      </c>
      <c r="G1086">
        <v>4.5999999999999999E-2</v>
      </c>
      <c r="H1086" t="s">
        <v>11</v>
      </c>
    </row>
    <row r="1087" spans="1:8" x14ac:dyDescent="0.25">
      <c r="A1087" t="str">
        <f t="shared" si="16"/>
        <v>31-Jul-18</v>
      </c>
      <c r="B1087" t="s">
        <v>7</v>
      </c>
      <c r="C1087" t="s">
        <v>8</v>
      </c>
      <c r="D1087" t="str">
        <f>"101137107"</f>
        <v>101137107</v>
      </c>
      <c r="E1087" t="s">
        <v>1105</v>
      </c>
      <c r="F1087" t="s">
        <v>7</v>
      </c>
      <c r="G1087">
        <v>5.1999999999999998E-2</v>
      </c>
      <c r="H1087" t="s">
        <v>11</v>
      </c>
    </row>
    <row r="1088" spans="1:8" x14ac:dyDescent="0.25">
      <c r="A1088" t="str">
        <f t="shared" si="16"/>
        <v>31-Jul-18</v>
      </c>
      <c r="B1088" t="s">
        <v>7</v>
      </c>
      <c r="C1088" t="s">
        <v>8</v>
      </c>
      <c r="D1088" t="str">
        <f>"10922N103"</f>
        <v>10922N103</v>
      </c>
      <c r="E1088" t="s">
        <v>1106</v>
      </c>
      <c r="F1088" t="s">
        <v>7</v>
      </c>
      <c r="G1088">
        <v>4.0000000000000001E-3</v>
      </c>
      <c r="H1088" t="s">
        <v>11</v>
      </c>
    </row>
    <row r="1089" spans="1:8" x14ac:dyDescent="0.25">
      <c r="A1089" t="str">
        <f t="shared" si="16"/>
        <v>31-Jul-18</v>
      </c>
      <c r="B1089" t="s">
        <v>7</v>
      </c>
      <c r="C1089" t="s">
        <v>8</v>
      </c>
      <c r="D1089" t="str">
        <f>"110122108"</f>
        <v>110122108</v>
      </c>
      <c r="E1089" t="s">
        <v>1107</v>
      </c>
      <c r="F1089" t="s">
        <v>7</v>
      </c>
      <c r="G1089">
        <v>0.21199999999999999</v>
      </c>
      <c r="H1089" t="s">
        <v>11</v>
      </c>
    </row>
    <row r="1090" spans="1:8" x14ac:dyDescent="0.25">
      <c r="A1090" t="str">
        <f t="shared" ref="A1090:A1153" si="17">"31-Jul-18"</f>
        <v>31-Jul-18</v>
      </c>
      <c r="B1090" t="s">
        <v>7</v>
      </c>
      <c r="C1090" t="s">
        <v>8</v>
      </c>
      <c r="D1090" t="str">
        <f>"11135F101"</f>
        <v>11135F101</v>
      </c>
      <c r="E1090" t="s">
        <v>1108</v>
      </c>
      <c r="F1090" t="s">
        <v>7</v>
      </c>
      <c r="G1090">
        <v>9.6000000000000002E-2</v>
      </c>
      <c r="H1090" t="s">
        <v>11</v>
      </c>
    </row>
    <row r="1091" spans="1:8" x14ac:dyDescent="0.25">
      <c r="A1091" t="str">
        <f t="shared" si="17"/>
        <v>31-Jul-18</v>
      </c>
      <c r="B1091" t="s">
        <v>7</v>
      </c>
      <c r="C1091" t="s">
        <v>8</v>
      </c>
      <c r="D1091" t="str">
        <f>"11133T103"</f>
        <v>11133T103</v>
      </c>
      <c r="E1091" t="s">
        <v>1109</v>
      </c>
      <c r="F1091" t="s">
        <v>7</v>
      </c>
      <c r="G1091">
        <v>0.03</v>
      </c>
      <c r="H1091" t="s">
        <v>11</v>
      </c>
    </row>
    <row r="1092" spans="1:8" x14ac:dyDescent="0.25">
      <c r="A1092" t="str">
        <f t="shared" si="17"/>
        <v>31-Jul-18</v>
      </c>
      <c r="B1092" t="s">
        <v>7</v>
      </c>
      <c r="C1092" t="s">
        <v>8</v>
      </c>
      <c r="D1092" t="str">
        <f>"115637209"</f>
        <v>115637209</v>
      </c>
      <c r="E1092" t="s">
        <v>1110</v>
      </c>
      <c r="F1092" t="s">
        <v>7</v>
      </c>
      <c r="G1092">
        <v>3.2000000000000001E-2</v>
      </c>
      <c r="H1092" t="s">
        <v>11</v>
      </c>
    </row>
    <row r="1093" spans="1:8" x14ac:dyDescent="0.25">
      <c r="A1093" t="str">
        <f t="shared" si="17"/>
        <v>31-Jul-18</v>
      </c>
      <c r="B1093" t="s">
        <v>7</v>
      </c>
      <c r="C1093" t="s">
        <v>8</v>
      </c>
      <c r="D1093" t="str">
        <f>"G16962105"</f>
        <v>G16962105</v>
      </c>
      <c r="E1093" t="s">
        <v>1111</v>
      </c>
      <c r="F1093" t="s">
        <v>7</v>
      </c>
      <c r="G1093">
        <v>0.04</v>
      </c>
      <c r="H1093" t="s">
        <v>11</v>
      </c>
    </row>
    <row r="1094" spans="1:8" x14ac:dyDescent="0.25">
      <c r="A1094" t="str">
        <f t="shared" si="17"/>
        <v>31-Jul-18</v>
      </c>
      <c r="B1094" t="s">
        <v>7</v>
      </c>
      <c r="C1094" t="s">
        <v>8</v>
      </c>
      <c r="D1094" t="str">
        <f>"12673P105"</f>
        <v>12673P105</v>
      </c>
      <c r="E1094" t="s">
        <v>1112</v>
      </c>
      <c r="F1094" t="s">
        <v>7</v>
      </c>
      <c r="G1094">
        <v>2.5999999999999999E-2</v>
      </c>
      <c r="H1094" t="s">
        <v>11</v>
      </c>
    </row>
    <row r="1095" spans="1:8" x14ac:dyDescent="0.25">
      <c r="A1095" t="str">
        <f t="shared" si="17"/>
        <v>31-Jul-18</v>
      </c>
      <c r="B1095" t="s">
        <v>7</v>
      </c>
      <c r="C1095" t="s">
        <v>8</v>
      </c>
      <c r="D1095" t="str">
        <f>"12504L109"</f>
        <v>12504L109</v>
      </c>
      <c r="E1095" t="s">
        <v>1113</v>
      </c>
      <c r="F1095" t="s">
        <v>7</v>
      </c>
      <c r="G1095">
        <v>6.8000000000000005E-2</v>
      </c>
      <c r="H1095" t="s">
        <v>11</v>
      </c>
    </row>
    <row r="1096" spans="1:8" x14ac:dyDescent="0.25">
      <c r="A1096" t="str">
        <f t="shared" si="17"/>
        <v>31-Jul-18</v>
      </c>
      <c r="B1096" t="s">
        <v>7</v>
      </c>
      <c r="C1096" t="s">
        <v>8</v>
      </c>
      <c r="D1096" t="str">
        <f>"124857202"</f>
        <v>124857202</v>
      </c>
      <c r="E1096" t="s">
        <v>1114</v>
      </c>
      <c r="F1096" t="s">
        <v>7</v>
      </c>
      <c r="G1096">
        <v>0.02</v>
      </c>
      <c r="H1096" t="s">
        <v>11</v>
      </c>
    </row>
    <row r="1097" spans="1:8" x14ac:dyDescent="0.25">
      <c r="A1097" t="str">
        <f t="shared" si="17"/>
        <v>31-Jul-18</v>
      </c>
      <c r="B1097" t="s">
        <v>7</v>
      </c>
      <c r="C1097" t="s">
        <v>8</v>
      </c>
      <c r="D1097" t="str">
        <f>"12508E101"</f>
        <v>12508E101</v>
      </c>
      <c r="E1097" t="s">
        <v>1115</v>
      </c>
      <c r="F1097" t="s">
        <v>7</v>
      </c>
      <c r="G1097">
        <v>1.4999999999999999E-2</v>
      </c>
      <c r="H1097" t="s">
        <v>11</v>
      </c>
    </row>
    <row r="1098" spans="1:8" x14ac:dyDescent="0.25">
      <c r="A1098" t="str">
        <f t="shared" si="17"/>
        <v>31-Jul-18</v>
      </c>
      <c r="B1098" t="s">
        <v>7</v>
      </c>
      <c r="C1098" t="s">
        <v>8</v>
      </c>
      <c r="D1098" t="str">
        <f>"12514G108"</f>
        <v>12514G108</v>
      </c>
      <c r="E1098" t="s">
        <v>1116</v>
      </c>
      <c r="F1098" t="s">
        <v>7</v>
      </c>
      <c r="G1098">
        <v>2.5999999999999999E-2</v>
      </c>
      <c r="H1098" t="s">
        <v>11</v>
      </c>
    </row>
    <row r="1099" spans="1:8" x14ac:dyDescent="0.25">
      <c r="A1099" t="str">
        <f t="shared" si="17"/>
        <v>31-Jul-18</v>
      </c>
      <c r="B1099" t="s">
        <v>7</v>
      </c>
      <c r="C1099" t="s">
        <v>8</v>
      </c>
      <c r="D1099" t="str">
        <f>"125269100"</f>
        <v>125269100</v>
      </c>
      <c r="E1099" t="s">
        <v>1117</v>
      </c>
      <c r="F1099" t="s">
        <v>7</v>
      </c>
      <c r="G1099">
        <v>1.0999999999999999E-2</v>
      </c>
      <c r="H1099" t="s">
        <v>11</v>
      </c>
    </row>
    <row r="1100" spans="1:8" x14ac:dyDescent="0.25">
      <c r="A1100" t="str">
        <f t="shared" si="17"/>
        <v>31-Jul-18</v>
      </c>
      <c r="B1100" t="s">
        <v>7</v>
      </c>
      <c r="C1100" t="s">
        <v>8</v>
      </c>
      <c r="D1100" t="str">
        <f>"12541W209"</f>
        <v>12541W209</v>
      </c>
      <c r="E1100" t="s">
        <v>1118</v>
      </c>
      <c r="F1100" t="s">
        <v>7</v>
      </c>
      <c r="G1100">
        <v>2.9000000000000001E-2</v>
      </c>
      <c r="H1100" t="s">
        <v>11</v>
      </c>
    </row>
    <row r="1101" spans="1:8" x14ac:dyDescent="0.25">
      <c r="A1101" t="str">
        <f t="shared" si="17"/>
        <v>31-Jul-18</v>
      </c>
      <c r="B1101" t="s">
        <v>7</v>
      </c>
      <c r="C1101" t="s">
        <v>8</v>
      </c>
      <c r="D1101" t="str">
        <f>"125581801"</f>
        <v>125581801</v>
      </c>
      <c r="E1101" t="s">
        <v>1119</v>
      </c>
      <c r="F1101" t="s">
        <v>7</v>
      </c>
      <c r="G1101">
        <v>1.0999999999999999E-2</v>
      </c>
      <c r="H1101" t="s">
        <v>11</v>
      </c>
    </row>
    <row r="1102" spans="1:8" x14ac:dyDescent="0.25">
      <c r="A1102" t="str">
        <f t="shared" si="17"/>
        <v>31-Jul-18</v>
      </c>
      <c r="B1102" t="s">
        <v>7</v>
      </c>
      <c r="C1102" t="s">
        <v>8</v>
      </c>
      <c r="D1102" t="str">
        <f>"12572Q105"</f>
        <v>12572Q105</v>
      </c>
      <c r="E1102" t="s">
        <v>1120</v>
      </c>
      <c r="F1102" t="s">
        <v>7</v>
      </c>
      <c r="G1102">
        <v>0.12</v>
      </c>
      <c r="H1102" t="s">
        <v>11</v>
      </c>
    </row>
    <row r="1103" spans="1:8" x14ac:dyDescent="0.25">
      <c r="A1103" t="str">
        <f t="shared" si="17"/>
        <v>31-Jul-18</v>
      </c>
      <c r="B1103" t="s">
        <v>7</v>
      </c>
      <c r="C1103" t="s">
        <v>8</v>
      </c>
      <c r="D1103" t="str">
        <f>"125896100"</f>
        <v>125896100</v>
      </c>
      <c r="E1103" t="s">
        <v>1121</v>
      </c>
      <c r="F1103" t="s">
        <v>7</v>
      </c>
      <c r="G1103">
        <v>0.04</v>
      </c>
      <c r="H1103" t="s">
        <v>11</v>
      </c>
    </row>
    <row r="1104" spans="1:8" x14ac:dyDescent="0.25">
      <c r="A1104" t="str">
        <f t="shared" si="17"/>
        <v>31-Jul-18</v>
      </c>
      <c r="B1104" t="s">
        <v>7</v>
      </c>
      <c r="C1104" t="s">
        <v>8</v>
      </c>
      <c r="D1104" t="str">
        <f>"126408103"</f>
        <v>126408103</v>
      </c>
      <c r="E1104" t="s">
        <v>1122</v>
      </c>
      <c r="F1104" t="s">
        <v>7</v>
      </c>
      <c r="G1104">
        <v>0.13900000000000001</v>
      </c>
      <c r="H1104" t="s">
        <v>11</v>
      </c>
    </row>
    <row r="1105" spans="1:8" x14ac:dyDescent="0.25">
      <c r="A1105" t="str">
        <f t="shared" si="17"/>
        <v>31-Jul-18</v>
      </c>
      <c r="B1105" t="s">
        <v>7</v>
      </c>
      <c r="C1105" t="s">
        <v>8</v>
      </c>
      <c r="D1105" t="str">
        <f>"126650100"</f>
        <v>126650100</v>
      </c>
      <c r="E1105" t="s">
        <v>1123</v>
      </c>
      <c r="F1105" t="s">
        <v>7</v>
      </c>
      <c r="G1105">
        <v>7.0999999999999994E-2</v>
      </c>
      <c r="H1105" t="s">
        <v>11</v>
      </c>
    </row>
    <row r="1106" spans="1:8" x14ac:dyDescent="0.25">
      <c r="A1106" t="str">
        <f t="shared" si="17"/>
        <v>31-Jul-18</v>
      </c>
      <c r="B1106" t="s">
        <v>7</v>
      </c>
      <c r="C1106" t="s">
        <v>8</v>
      </c>
      <c r="D1106" t="str">
        <f>"127097103"</f>
        <v>127097103</v>
      </c>
      <c r="E1106" t="s">
        <v>1124</v>
      </c>
      <c r="F1106" t="s">
        <v>7</v>
      </c>
      <c r="G1106">
        <v>1.2E-2</v>
      </c>
      <c r="H1106" t="s">
        <v>11</v>
      </c>
    </row>
    <row r="1107" spans="1:8" x14ac:dyDescent="0.25">
      <c r="A1107" t="str">
        <f t="shared" si="17"/>
        <v>31-Jul-18</v>
      </c>
      <c r="B1107" t="s">
        <v>7</v>
      </c>
      <c r="C1107" t="s">
        <v>8</v>
      </c>
      <c r="D1107" t="str">
        <f>"127387108"</f>
        <v>127387108</v>
      </c>
      <c r="E1107" t="s">
        <v>1125</v>
      </c>
      <c r="F1107" t="s">
        <v>7</v>
      </c>
      <c r="G1107">
        <v>4.5999999999999999E-2</v>
      </c>
      <c r="H1107" t="s">
        <v>11</v>
      </c>
    </row>
    <row r="1108" spans="1:8" x14ac:dyDescent="0.25">
      <c r="A1108" t="str">
        <f t="shared" si="17"/>
        <v>31-Jul-18</v>
      </c>
      <c r="B1108" t="s">
        <v>7</v>
      </c>
      <c r="C1108" t="s">
        <v>8</v>
      </c>
      <c r="D1108" t="str">
        <f>"133131102"</f>
        <v>133131102</v>
      </c>
      <c r="E1108" t="s">
        <v>1126</v>
      </c>
      <c r="F1108" t="s">
        <v>7</v>
      </c>
      <c r="G1108">
        <v>1.9E-2</v>
      </c>
      <c r="H1108" t="s">
        <v>11</v>
      </c>
    </row>
    <row r="1109" spans="1:8" x14ac:dyDescent="0.25">
      <c r="A1109" t="str">
        <f t="shared" si="17"/>
        <v>31-Jul-18</v>
      </c>
      <c r="B1109" t="s">
        <v>7</v>
      </c>
      <c r="C1109" t="s">
        <v>8</v>
      </c>
      <c r="D1109" t="str">
        <f>"134429109"</f>
        <v>134429109</v>
      </c>
      <c r="E1109" t="s">
        <v>1127</v>
      </c>
      <c r="F1109" t="s">
        <v>7</v>
      </c>
      <c r="G1109">
        <v>0.03</v>
      </c>
      <c r="H1109" t="s">
        <v>11</v>
      </c>
    </row>
    <row r="1110" spans="1:8" x14ac:dyDescent="0.25">
      <c r="A1110" t="str">
        <f t="shared" si="17"/>
        <v>31-Jul-18</v>
      </c>
      <c r="B1110" t="s">
        <v>7</v>
      </c>
      <c r="C1110" t="s">
        <v>8</v>
      </c>
      <c r="D1110" t="str">
        <f>"14040H105"</f>
        <v>14040H105</v>
      </c>
      <c r="E1110" t="s">
        <v>1128</v>
      </c>
      <c r="F1110" t="s">
        <v>7</v>
      </c>
      <c r="G1110">
        <v>0.105</v>
      </c>
      <c r="H1110" t="s">
        <v>11</v>
      </c>
    </row>
    <row r="1111" spans="1:8" x14ac:dyDescent="0.25">
      <c r="A1111" t="str">
        <f t="shared" si="17"/>
        <v>31-Jul-18</v>
      </c>
      <c r="B1111" t="s">
        <v>7</v>
      </c>
      <c r="C1111" t="s">
        <v>8</v>
      </c>
      <c r="D1111" t="str">
        <f>"143130102"</f>
        <v>143130102</v>
      </c>
      <c r="E1111" t="s">
        <v>1129</v>
      </c>
      <c r="F1111" t="s">
        <v>7</v>
      </c>
      <c r="G1111">
        <v>2.5000000000000001E-2</v>
      </c>
      <c r="H1111" t="s">
        <v>11</v>
      </c>
    </row>
    <row r="1112" spans="1:8" x14ac:dyDescent="0.25">
      <c r="A1112" t="str">
        <f t="shared" si="17"/>
        <v>31-Jul-18</v>
      </c>
      <c r="B1112" t="s">
        <v>7</v>
      </c>
      <c r="C1112" t="s">
        <v>8</v>
      </c>
      <c r="D1112" t="str">
        <f>"14149Y108"</f>
        <v>14149Y108</v>
      </c>
      <c r="E1112" t="s">
        <v>1130</v>
      </c>
      <c r="F1112" t="s">
        <v>7</v>
      </c>
      <c r="G1112">
        <v>5.1999999999999998E-2</v>
      </c>
      <c r="H1112" t="s">
        <v>11</v>
      </c>
    </row>
    <row r="1113" spans="1:8" x14ac:dyDescent="0.25">
      <c r="A1113" t="str">
        <f t="shared" si="17"/>
        <v>31-Jul-18</v>
      </c>
      <c r="B1113" t="s">
        <v>7</v>
      </c>
      <c r="C1113" t="s">
        <v>8</v>
      </c>
      <c r="D1113" t="str">
        <f>"143658300"</f>
        <v>143658300</v>
      </c>
      <c r="E1113" t="s">
        <v>1131</v>
      </c>
      <c r="F1113" t="s">
        <v>7</v>
      </c>
      <c r="G1113">
        <v>2.1999999999999999E-2</v>
      </c>
      <c r="H1113" t="s">
        <v>11</v>
      </c>
    </row>
    <row r="1114" spans="1:8" x14ac:dyDescent="0.25">
      <c r="A1114" t="str">
        <f t="shared" si="17"/>
        <v>31-Jul-18</v>
      </c>
      <c r="B1114" t="s">
        <v>7</v>
      </c>
      <c r="C1114" t="s">
        <v>8</v>
      </c>
      <c r="D1114" t="str">
        <f>"149123101"</f>
        <v>149123101</v>
      </c>
      <c r="E1114" t="s">
        <v>1132</v>
      </c>
      <c r="F1114" t="s">
        <v>7</v>
      </c>
      <c r="G1114">
        <v>0.36599999999999999</v>
      </c>
      <c r="H1114" t="s">
        <v>11</v>
      </c>
    </row>
    <row r="1115" spans="1:8" x14ac:dyDescent="0.25">
      <c r="A1115" t="str">
        <f t="shared" si="17"/>
        <v>31-Jul-18</v>
      </c>
      <c r="B1115" t="s">
        <v>7</v>
      </c>
      <c r="C1115" t="s">
        <v>8</v>
      </c>
      <c r="D1115" t="str">
        <f>"12503M108"</f>
        <v>12503M108</v>
      </c>
      <c r="E1115" t="s">
        <v>1133</v>
      </c>
      <c r="F1115" t="s">
        <v>7</v>
      </c>
      <c r="G1115">
        <v>1.2E-2</v>
      </c>
      <c r="H1115" t="s">
        <v>11</v>
      </c>
    </row>
    <row r="1116" spans="1:8" x14ac:dyDescent="0.25">
      <c r="A1116" t="str">
        <f t="shared" si="17"/>
        <v>31-Jul-18</v>
      </c>
      <c r="B1116" t="s">
        <v>7</v>
      </c>
      <c r="C1116" t="s">
        <v>8</v>
      </c>
      <c r="D1116" t="str">
        <f>"150870103"</f>
        <v>150870103</v>
      </c>
      <c r="E1116" t="s">
        <v>1134</v>
      </c>
      <c r="F1116" t="s">
        <v>7</v>
      </c>
      <c r="G1116">
        <v>3.5000000000000003E-2</v>
      </c>
      <c r="H1116" t="s">
        <v>11</v>
      </c>
    </row>
    <row r="1117" spans="1:8" x14ac:dyDescent="0.25">
      <c r="A1117" t="str">
        <f t="shared" si="17"/>
        <v>31-Jul-18</v>
      </c>
      <c r="B1117" t="s">
        <v>7</v>
      </c>
      <c r="C1117" t="s">
        <v>8</v>
      </c>
      <c r="D1117" t="str">
        <f>"151020104"</f>
        <v>151020104</v>
      </c>
      <c r="E1117" t="s">
        <v>1135</v>
      </c>
      <c r="F1117" t="s">
        <v>7</v>
      </c>
      <c r="G1117">
        <v>0.14499999999999999</v>
      </c>
      <c r="H1117" t="s">
        <v>11</v>
      </c>
    </row>
    <row r="1118" spans="1:8" x14ac:dyDescent="0.25">
      <c r="A1118" t="str">
        <f t="shared" si="17"/>
        <v>31-Jul-18</v>
      </c>
      <c r="B1118" t="s">
        <v>7</v>
      </c>
      <c r="C1118" t="s">
        <v>8</v>
      </c>
      <c r="D1118" t="str">
        <f>"15135B101"</f>
        <v>15135B101</v>
      </c>
      <c r="E1118" t="s">
        <v>1136</v>
      </c>
      <c r="F1118" t="s">
        <v>7</v>
      </c>
      <c r="G1118">
        <v>4.7E-2</v>
      </c>
      <c r="H1118" t="s">
        <v>11</v>
      </c>
    </row>
    <row r="1119" spans="1:8" x14ac:dyDescent="0.25">
      <c r="A1119" t="str">
        <f t="shared" si="17"/>
        <v>31-Jul-18</v>
      </c>
      <c r="B1119" t="s">
        <v>7</v>
      </c>
      <c r="C1119" t="s">
        <v>8</v>
      </c>
      <c r="D1119" t="str">
        <f>"15189T107"</f>
        <v>15189T107</v>
      </c>
      <c r="E1119" t="s">
        <v>1137</v>
      </c>
      <c r="F1119" t="s">
        <v>7</v>
      </c>
      <c r="G1119">
        <v>1.2E-2</v>
      </c>
      <c r="H1119" t="s">
        <v>11</v>
      </c>
    </row>
    <row r="1120" spans="1:8" x14ac:dyDescent="0.25">
      <c r="A1120" t="str">
        <f t="shared" si="17"/>
        <v>31-Jul-18</v>
      </c>
      <c r="B1120" t="s">
        <v>7</v>
      </c>
      <c r="C1120" t="s">
        <v>8</v>
      </c>
      <c r="D1120" t="str">
        <f>"156700106"</f>
        <v>156700106</v>
      </c>
      <c r="E1120" t="s">
        <v>1138</v>
      </c>
      <c r="F1120" t="s">
        <v>7</v>
      </c>
      <c r="G1120">
        <v>3.7999999999999999E-2</v>
      </c>
      <c r="H1120" t="s">
        <v>11</v>
      </c>
    </row>
    <row r="1121" spans="1:8" x14ac:dyDescent="0.25">
      <c r="A1121" t="str">
        <f t="shared" si="17"/>
        <v>31-Jul-18</v>
      </c>
      <c r="B1121" t="s">
        <v>7</v>
      </c>
      <c r="C1121" t="s">
        <v>8</v>
      </c>
      <c r="D1121" t="str">
        <f>"156782104"</f>
        <v>156782104</v>
      </c>
      <c r="E1121" t="s">
        <v>1139</v>
      </c>
      <c r="F1121" t="s">
        <v>7</v>
      </c>
      <c r="G1121">
        <v>4.3999999999999997E-2</v>
      </c>
      <c r="H1121" t="s">
        <v>11</v>
      </c>
    </row>
    <row r="1122" spans="1:8" x14ac:dyDescent="0.25">
      <c r="A1122" t="str">
        <f t="shared" si="17"/>
        <v>31-Jul-18</v>
      </c>
      <c r="B1122" t="s">
        <v>7</v>
      </c>
      <c r="C1122" t="s">
        <v>8</v>
      </c>
      <c r="D1122" t="str">
        <f>"808513105"</f>
        <v>808513105</v>
      </c>
      <c r="E1122" t="s">
        <v>1140</v>
      </c>
      <c r="F1122" t="s">
        <v>7</v>
      </c>
      <c r="G1122">
        <v>0.13500000000000001</v>
      </c>
      <c r="H1122" t="s">
        <v>11</v>
      </c>
    </row>
    <row r="1123" spans="1:8" x14ac:dyDescent="0.25">
      <c r="A1123" t="str">
        <f t="shared" si="17"/>
        <v>31-Jul-18</v>
      </c>
      <c r="B1123" t="s">
        <v>7</v>
      </c>
      <c r="C1123" t="s">
        <v>8</v>
      </c>
      <c r="D1123" t="str">
        <f>"16119P108"</f>
        <v>16119P108</v>
      </c>
      <c r="E1123" t="s">
        <v>1141</v>
      </c>
      <c r="F1123" t="s">
        <v>7</v>
      </c>
      <c r="G1123">
        <v>5.7000000000000002E-2</v>
      </c>
      <c r="H1123" t="s">
        <v>11</v>
      </c>
    </row>
    <row r="1124" spans="1:8" x14ac:dyDescent="0.25">
      <c r="A1124" t="str">
        <f t="shared" si="17"/>
        <v>31-Jul-18</v>
      </c>
      <c r="B1124" t="s">
        <v>7</v>
      </c>
      <c r="C1124" t="s">
        <v>8</v>
      </c>
      <c r="D1124" t="str">
        <f>"M22465104"</f>
        <v>M22465104</v>
      </c>
      <c r="E1124" t="s">
        <v>1142</v>
      </c>
      <c r="F1124" t="s">
        <v>7</v>
      </c>
      <c r="G1124">
        <v>2.1999999999999999E-2</v>
      </c>
      <c r="H1124" t="s">
        <v>11</v>
      </c>
    </row>
    <row r="1125" spans="1:8" x14ac:dyDescent="0.25">
      <c r="A1125" t="str">
        <f t="shared" si="17"/>
        <v>31-Jul-18</v>
      </c>
      <c r="B1125" t="s">
        <v>7</v>
      </c>
      <c r="C1125" t="s">
        <v>8</v>
      </c>
      <c r="D1125" t="str">
        <f>"163851108"</f>
        <v>163851108</v>
      </c>
      <c r="E1125" t="s">
        <v>1143</v>
      </c>
      <c r="F1125" t="s">
        <v>7</v>
      </c>
      <c r="G1125">
        <v>7.0000000000000001E-3</v>
      </c>
      <c r="H1125" t="s">
        <v>11</v>
      </c>
    </row>
    <row r="1126" spans="1:8" x14ac:dyDescent="0.25">
      <c r="A1126" t="str">
        <f t="shared" si="17"/>
        <v>31-Jul-18</v>
      </c>
      <c r="B1126" t="s">
        <v>7</v>
      </c>
      <c r="C1126" t="s">
        <v>8</v>
      </c>
      <c r="D1126" t="str">
        <f>"16411R208"</f>
        <v>16411R208</v>
      </c>
      <c r="E1126" t="s">
        <v>1144</v>
      </c>
      <c r="F1126" t="s">
        <v>7</v>
      </c>
      <c r="G1126">
        <v>2.7E-2</v>
      </c>
      <c r="H1126" t="s">
        <v>11</v>
      </c>
    </row>
    <row r="1127" spans="1:8" x14ac:dyDescent="0.25">
      <c r="A1127" t="str">
        <f t="shared" si="17"/>
        <v>31-Jul-18</v>
      </c>
      <c r="B1127" t="s">
        <v>7</v>
      </c>
      <c r="C1127" t="s">
        <v>8</v>
      </c>
      <c r="D1127" t="str">
        <f>"169656105"</f>
        <v>169656105</v>
      </c>
      <c r="E1127" t="s">
        <v>1145</v>
      </c>
      <c r="F1127" t="s">
        <v>7</v>
      </c>
      <c r="G1127">
        <v>1.2E-2</v>
      </c>
      <c r="H1127" t="s">
        <v>11</v>
      </c>
    </row>
    <row r="1128" spans="1:8" x14ac:dyDescent="0.25">
      <c r="A1128" t="str">
        <f t="shared" si="17"/>
        <v>31-Jul-18</v>
      </c>
      <c r="B1128" t="s">
        <v>7</v>
      </c>
      <c r="C1128" t="s">
        <v>8</v>
      </c>
      <c r="D1128" t="str">
        <f>"H1467J104"</f>
        <v>H1467J104</v>
      </c>
      <c r="E1128" t="s">
        <v>1146</v>
      </c>
      <c r="F1128" t="s">
        <v>7</v>
      </c>
      <c r="G1128">
        <v>0.18</v>
      </c>
      <c r="H1128" t="s">
        <v>11</v>
      </c>
    </row>
    <row r="1129" spans="1:8" x14ac:dyDescent="0.25">
      <c r="A1129" t="str">
        <f t="shared" si="17"/>
        <v>31-Jul-18</v>
      </c>
      <c r="B1129" t="s">
        <v>7</v>
      </c>
      <c r="C1129" t="s">
        <v>8</v>
      </c>
      <c r="D1129" t="str">
        <f>"171340102"</f>
        <v>171340102</v>
      </c>
      <c r="E1129" t="s">
        <v>1147</v>
      </c>
      <c r="F1129" t="s">
        <v>7</v>
      </c>
      <c r="G1129">
        <v>0.02</v>
      </c>
      <c r="H1129" t="s">
        <v>11</v>
      </c>
    </row>
    <row r="1130" spans="1:8" x14ac:dyDescent="0.25">
      <c r="A1130" t="str">
        <f t="shared" si="17"/>
        <v>31-Jul-18</v>
      </c>
      <c r="B1130" t="s">
        <v>7</v>
      </c>
      <c r="C1130" t="s">
        <v>8</v>
      </c>
      <c r="D1130" t="str">
        <f>"125509109"</f>
        <v>125509109</v>
      </c>
      <c r="E1130" t="s">
        <v>1148</v>
      </c>
      <c r="F1130" t="s">
        <v>7</v>
      </c>
      <c r="G1130">
        <v>9.4E-2</v>
      </c>
      <c r="H1130" t="s">
        <v>11</v>
      </c>
    </row>
    <row r="1131" spans="1:8" x14ac:dyDescent="0.25">
      <c r="A1131" t="str">
        <f t="shared" si="17"/>
        <v>31-Jul-18</v>
      </c>
      <c r="B1131" t="s">
        <v>7</v>
      </c>
      <c r="C1131" t="s">
        <v>8</v>
      </c>
      <c r="D1131" t="str">
        <f>"171798101"</f>
        <v>171798101</v>
      </c>
      <c r="E1131" t="s">
        <v>1149</v>
      </c>
      <c r="F1131" t="s">
        <v>7</v>
      </c>
      <c r="G1131">
        <v>0.02</v>
      </c>
      <c r="H1131" t="s">
        <v>11</v>
      </c>
    </row>
    <row r="1132" spans="1:8" x14ac:dyDescent="0.25">
      <c r="A1132" t="str">
        <f t="shared" si="17"/>
        <v>31-Jul-18</v>
      </c>
      <c r="B1132" t="s">
        <v>7</v>
      </c>
      <c r="C1132" t="s">
        <v>8</v>
      </c>
      <c r="D1132" t="str">
        <f>"172062101"</f>
        <v>172062101</v>
      </c>
      <c r="E1132" t="s">
        <v>1150</v>
      </c>
      <c r="F1132" t="s">
        <v>7</v>
      </c>
      <c r="G1132">
        <v>1.4E-2</v>
      </c>
      <c r="H1132" t="s">
        <v>11</v>
      </c>
    </row>
    <row r="1133" spans="1:8" x14ac:dyDescent="0.25">
      <c r="A1133" t="str">
        <f t="shared" si="17"/>
        <v>31-Jul-18</v>
      </c>
      <c r="B1133" t="s">
        <v>7</v>
      </c>
      <c r="C1133" t="s">
        <v>8</v>
      </c>
      <c r="D1133" t="str">
        <f>"172908105"</f>
        <v>172908105</v>
      </c>
      <c r="E1133" t="s">
        <v>1151</v>
      </c>
      <c r="F1133" t="s">
        <v>7</v>
      </c>
      <c r="G1133">
        <v>0.05</v>
      </c>
      <c r="H1133" t="s">
        <v>11</v>
      </c>
    </row>
    <row r="1134" spans="1:8" x14ac:dyDescent="0.25">
      <c r="A1134" t="str">
        <f t="shared" si="17"/>
        <v>31-Jul-18</v>
      </c>
      <c r="B1134" t="s">
        <v>7</v>
      </c>
      <c r="C1134" t="s">
        <v>8</v>
      </c>
      <c r="D1134" t="str">
        <f>"17275R102"</f>
        <v>17275R102</v>
      </c>
      <c r="E1134" t="s">
        <v>1152</v>
      </c>
      <c r="F1134" t="s">
        <v>7</v>
      </c>
      <c r="G1134">
        <v>0.437</v>
      </c>
      <c r="H1134" t="s">
        <v>11</v>
      </c>
    </row>
    <row r="1135" spans="1:8" x14ac:dyDescent="0.25">
      <c r="A1135" t="str">
        <f t="shared" si="17"/>
        <v>31-Jul-18</v>
      </c>
      <c r="B1135" t="s">
        <v>7</v>
      </c>
      <c r="C1135" t="s">
        <v>8</v>
      </c>
      <c r="D1135" t="str">
        <f>"172967424"</f>
        <v>172967424</v>
      </c>
      <c r="E1135" t="s">
        <v>1153</v>
      </c>
      <c r="F1135" t="s">
        <v>7</v>
      </c>
      <c r="G1135">
        <v>0.48199999999999998</v>
      </c>
      <c r="H1135" t="s">
        <v>11</v>
      </c>
    </row>
    <row r="1136" spans="1:8" x14ac:dyDescent="0.25">
      <c r="A1136" t="str">
        <f t="shared" si="17"/>
        <v>31-Jul-18</v>
      </c>
      <c r="B1136" t="s">
        <v>7</v>
      </c>
      <c r="C1136" t="s">
        <v>8</v>
      </c>
      <c r="D1136" t="str">
        <f>"174610105"</f>
        <v>174610105</v>
      </c>
      <c r="E1136" t="s">
        <v>1154</v>
      </c>
      <c r="F1136" t="s">
        <v>7</v>
      </c>
      <c r="G1136">
        <v>0.04</v>
      </c>
      <c r="H1136" t="s">
        <v>11</v>
      </c>
    </row>
    <row r="1137" spans="1:8" x14ac:dyDescent="0.25">
      <c r="A1137" t="str">
        <f t="shared" si="17"/>
        <v>31-Jul-18</v>
      </c>
      <c r="B1137" t="s">
        <v>7</v>
      </c>
      <c r="C1137" t="s">
        <v>8</v>
      </c>
      <c r="D1137" t="str">
        <f>"177376100"</f>
        <v>177376100</v>
      </c>
      <c r="E1137" t="s">
        <v>1155</v>
      </c>
      <c r="F1137" t="s">
        <v>7</v>
      </c>
      <c r="G1137">
        <v>3.1E-2</v>
      </c>
      <c r="H1137" t="s">
        <v>11</v>
      </c>
    </row>
    <row r="1138" spans="1:8" x14ac:dyDescent="0.25">
      <c r="A1138" t="str">
        <f t="shared" si="17"/>
        <v>31-Jul-18</v>
      </c>
      <c r="B1138" t="s">
        <v>7</v>
      </c>
      <c r="C1138" t="s">
        <v>8</v>
      </c>
      <c r="D1138" t="str">
        <f>"189054109"</f>
        <v>189054109</v>
      </c>
      <c r="E1138" t="s">
        <v>1156</v>
      </c>
      <c r="F1138" t="s">
        <v>7</v>
      </c>
      <c r="G1138">
        <v>7.4999999999999997E-2</v>
      </c>
      <c r="H1138" t="s">
        <v>11</v>
      </c>
    </row>
    <row r="1139" spans="1:8" x14ac:dyDescent="0.25">
      <c r="A1139" t="str">
        <f t="shared" si="17"/>
        <v>31-Jul-18</v>
      </c>
      <c r="B1139" t="s">
        <v>7</v>
      </c>
      <c r="C1139" t="s">
        <v>8</v>
      </c>
      <c r="D1139" t="str">
        <f>"22160N109"</f>
        <v>22160N109</v>
      </c>
      <c r="E1139" t="s">
        <v>1157</v>
      </c>
      <c r="F1139" t="s">
        <v>7</v>
      </c>
      <c r="G1139">
        <v>1.7000000000000001E-2</v>
      </c>
      <c r="H1139" t="s">
        <v>11</v>
      </c>
    </row>
    <row r="1140" spans="1:8" x14ac:dyDescent="0.25">
      <c r="A1140" t="str">
        <f t="shared" si="17"/>
        <v>31-Jul-18</v>
      </c>
      <c r="B1140" t="s">
        <v>7</v>
      </c>
      <c r="C1140" t="s">
        <v>8</v>
      </c>
      <c r="D1140" t="str">
        <f>"191216100"</f>
        <v>191216100</v>
      </c>
      <c r="E1140" t="s">
        <v>1158</v>
      </c>
      <c r="F1140" t="s">
        <v>7</v>
      </c>
      <c r="G1140">
        <v>0.41099999999999998</v>
      </c>
      <c r="H1140" t="s">
        <v>11</v>
      </c>
    </row>
    <row r="1141" spans="1:8" x14ac:dyDescent="0.25">
      <c r="A1141" t="str">
        <f t="shared" si="17"/>
        <v>31-Jul-18</v>
      </c>
      <c r="B1141" t="s">
        <v>7</v>
      </c>
      <c r="C1141" t="s">
        <v>8</v>
      </c>
      <c r="D1141" t="str">
        <f>"G25839104"</f>
        <v>G25839104</v>
      </c>
      <c r="E1141" t="s">
        <v>1159</v>
      </c>
      <c r="F1141" t="s">
        <v>7</v>
      </c>
      <c r="G1141">
        <v>3.5999999999999997E-2</v>
      </c>
      <c r="H1141" t="s">
        <v>11</v>
      </c>
    </row>
    <row r="1142" spans="1:8" x14ac:dyDescent="0.25">
      <c r="A1142" t="str">
        <f t="shared" si="17"/>
        <v>31-Jul-18</v>
      </c>
      <c r="B1142" t="s">
        <v>7</v>
      </c>
      <c r="C1142" t="s">
        <v>8</v>
      </c>
      <c r="D1142" t="str">
        <f>"192422103"</f>
        <v>192422103</v>
      </c>
      <c r="E1142" t="s">
        <v>1160</v>
      </c>
      <c r="F1142" t="s">
        <v>7</v>
      </c>
      <c r="G1142">
        <v>1.9E-2</v>
      </c>
      <c r="H1142" t="s">
        <v>11</v>
      </c>
    </row>
    <row r="1143" spans="1:8" x14ac:dyDescent="0.25">
      <c r="A1143" t="str">
        <f t="shared" si="17"/>
        <v>31-Jul-18</v>
      </c>
      <c r="B1143" t="s">
        <v>7</v>
      </c>
      <c r="C1143" t="s">
        <v>8</v>
      </c>
      <c r="D1143" t="str">
        <f>"192446102"</f>
        <v>192446102</v>
      </c>
      <c r="E1143" t="s">
        <v>1161</v>
      </c>
      <c r="F1143" t="s">
        <v>7</v>
      </c>
      <c r="G1143">
        <v>0.107</v>
      </c>
      <c r="H1143" t="s">
        <v>11</v>
      </c>
    </row>
    <row r="1144" spans="1:8" x14ac:dyDescent="0.25">
      <c r="A1144" t="str">
        <f t="shared" si="17"/>
        <v>31-Jul-18</v>
      </c>
      <c r="B1144" t="s">
        <v>7</v>
      </c>
      <c r="C1144" t="s">
        <v>8</v>
      </c>
      <c r="D1144" t="str">
        <f>"194162103"</f>
        <v>194162103</v>
      </c>
      <c r="E1144" t="s">
        <v>1162</v>
      </c>
      <c r="F1144" t="s">
        <v>7</v>
      </c>
      <c r="G1144">
        <v>0.24399999999999999</v>
      </c>
      <c r="H1144" t="s">
        <v>11</v>
      </c>
    </row>
    <row r="1145" spans="1:8" x14ac:dyDescent="0.25">
      <c r="A1145" t="str">
        <f t="shared" si="17"/>
        <v>31-Jul-18</v>
      </c>
      <c r="B1145" t="s">
        <v>7</v>
      </c>
      <c r="C1145" t="s">
        <v>8</v>
      </c>
      <c r="D1145" t="str">
        <f>"20030N101"</f>
        <v>20030N101</v>
      </c>
      <c r="E1145" t="s">
        <v>1163</v>
      </c>
      <c r="F1145" t="s">
        <v>7</v>
      </c>
      <c r="G1145">
        <v>0.22</v>
      </c>
      <c r="H1145" t="s">
        <v>11</v>
      </c>
    </row>
    <row r="1146" spans="1:8" x14ac:dyDescent="0.25">
      <c r="A1146" t="str">
        <f t="shared" si="17"/>
        <v>31-Jul-18</v>
      </c>
      <c r="B1146" t="s">
        <v>7</v>
      </c>
      <c r="C1146" t="s">
        <v>8</v>
      </c>
      <c r="D1146" t="str">
        <f>"200340107"</f>
        <v>200340107</v>
      </c>
      <c r="E1146" t="s">
        <v>1164</v>
      </c>
      <c r="F1146" t="s">
        <v>7</v>
      </c>
      <c r="G1146">
        <v>3.6999999999999998E-2</v>
      </c>
      <c r="H1146" t="s">
        <v>11</v>
      </c>
    </row>
    <row r="1147" spans="1:8" x14ac:dyDescent="0.25">
      <c r="A1147" t="str">
        <f t="shared" si="17"/>
        <v>31-Jul-18</v>
      </c>
      <c r="B1147" t="s">
        <v>7</v>
      </c>
      <c r="C1147" t="s">
        <v>8</v>
      </c>
      <c r="D1147" t="str">
        <f>"20337X109"</f>
        <v>20337X109</v>
      </c>
      <c r="E1147" t="s">
        <v>1165</v>
      </c>
      <c r="F1147" t="s">
        <v>7</v>
      </c>
      <c r="G1147">
        <v>1.6E-2</v>
      </c>
      <c r="H1147" t="s">
        <v>11</v>
      </c>
    </row>
    <row r="1148" spans="1:8" x14ac:dyDescent="0.25">
      <c r="A1148" t="str">
        <f t="shared" si="17"/>
        <v>31-Jul-18</v>
      </c>
      <c r="B1148" t="s">
        <v>7</v>
      </c>
      <c r="C1148" t="s">
        <v>8</v>
      </c>
      <c r="D1148" t="str">
        <f>"205887102"</f>
        <v>205887102</v>
      </c>
      <c r="E1148" t="s">
        <v>1166</v>
      </c>
      <c r="F1148" t="s">
        <v>7</v>
      </c>
      <c r="G1148">
        <v>3.3000000000000002E-2</v>
      </c>
      <c r="H1148" t="s">
        <v>11</v>
      </c>
    </row>
    <row r="1149" spans="1:8" x14ac:dyDescent="0.25">
      <c r="A1149" t="str">
        <f t="shared" si="17"/>
        <v>31-Jul-18</v>
      </c>
      <c r="B1149" t="s">
        <v>7</v>
      </c>
      <c r="C1149" t="s">
        <v>8</v>
      </c>
      <c r="D1149" t="str">
        <f>"20605P101"</f>
        <v>20605P101</v>
      </c>
      <c r="E1149" t="s">
        <v>1167</v>
      </c>
      <c r="F1149" t="s">
        <v>7</v>
      </c>
      <c r="G1149">
        <v>2.1999999999999999E-2</v>
      </c>
      <c r="H1149" t="s">
        <v>11</v>
      </c>
    </row>
    <row r="1150" spans="1:8" x14ac:dyDescent="0.25">
      <c r="A1150" t="str">
        <f t="shared" si="17"/>
        <v>31-Jul-18</v>
      </c>
      <c r="B1150" t="s">
        <v>7</v>
      </c>
      <c r="C1150" t="s">
        <v>8</v>
      </c>
      <c r="D1150" t="str">
        <f>"20825C104"</f>
        <v>20825C104</v>
      </c>
      <c r="E1150" t="s">
        <v>1168</v>
      </c>
      <c r="F1150" t="s">
        <v>7</v>
      </c>
      <c r="G1150">
        <v>0.188</v>
      </c>
      <c r="H1150" t="s">
        <v>11</v>
      </c>
    </row>
    <row r="1151" spans="1:8" x14ac:dyDescent="0.25">
      <c r="A1151" t="str">
        <f t="shared" si="17"/>
        <v>31-Jul-18</v>
      </c>
      <c r="B1151" t="s">
        <v>7</v>
      </c>
      <c r="C1151" t="s">
        <v>8</v>
      </c>
      <c r="D1151" t="str">
        <f>"209115104"</f>
        <v>209115104</v>
      </c>
      <c r="E1151" t="s">
        <v>1169</v>
      </c>
      <c r="F1151" t="s">
        <v>7</v>
      </c>
      <c r="G1151">
        <v>5.3999999999999999E-2</v>
      </c>
      <c r="H1151" t="s">
        <v>11</v>
      </c>
    </row>
    <row r="1152" spans="1:8" x14ac:dyDescent="0.25">
      <c r="A1152" t="str">
        <f t="shared" si="17"/>
        <v>31-Jul-18</v>
      </c>
      <c r="B1152" t="s">
        <v>7</v>
      </c>
      <c r="C1152" t="s">
        <v>8</v>
      </c>
      <c r="D1152" t="str">
        <f>"21036P108"</f>
        <v>21036P108</v>
      </c>
      <c r="E1152" t="s">
        <v>1170</v>
      </c>
      <c r="F1152" t="s">
        <v>7</v>
      </c>
      <c r="G1152">
        <v>7.3999999999999996E-2</v>
      </c>
      <c r="H1152" t="s">
        <v>11</v>
      </c>
    </row>
    <row r="1153" spans="1:8" x14ac:dyDescent="0.25">
      <c r="A1153" t="str">
        <f t="shared" si="17"/>
        <v>31-Jul-18</v>
      </c>
      <c r="B1153" t="s">
        <v>7</v>
      </c>
      <c r="C1153" t="s">
        <v>8</v>
      </c>
      <c r="D1153" t="str">
        <f>"212015101"</f>
        <v>212015101</v>
      </c>
      <c r="E1153" t="s">
        <v>1171</v>
      </c>
      <c r="F1153" t="s">
        <v>7</v>
      </c>
      <c r="G1153">
        <v>7.0000000000000001E-3</v>
      </c>
      <c r="H1153" t="s">
        <v>11</v>
      </c>
    </row>
    <row r="1154" spans="1:8" x14ac:dyDescent="0.25">
      <c r="A1154" t="str">
        <f t="shared" ref="A1154:A1217" si="18">"31-Jul-18"</f>
        <v>31-Jul-18</v>
      </c>
      <c r="B1154" t="s">
        <v>7</v>
      </c>
      <c r="C1154" t="s">
        <v>8</v>
      </c>
      <c r="D1154" t="str">
        <f>"216648402"</f>
        <v>216648402</v>
      </c>
      <c r="E1154" t="s">
        <v>1172</v>
      </c>
      <c r="F1154" t="s">
        <v>7</v>
      </c>
      <c r="G1154">
        <v>2.8000000000000001E-2</v>
      </c>
      <c r="H1154" t="s">
        <v>11</v>
      </c>
    </row>
    <row r="1155" spans="1:8" x14ac:dyDescent="0.25">
      <c r="A1155" t="str">
        <f t="shared" si="18"/>
        <v>31-Jul-18</v>
      </c>
      <c r="B1155" t="s">
        <v>7</v>
      </c>
      <c r="C1155" t="s">
        <v>8</v>
      </c>
      <c r="D1155" t="str">
        <f>"217204106"</f>
        <v>217204106</v>
      </c>
      <c r="E1155" t="s">
        <v>1173</v>
      </c>
      <c r="F1155" t="s">
        <v>7</v>
      </c>
      <c r="G1155">
        <v>8.9999999999999993E-3</v>
      </c>
      <c r="H1155" t="s">
        <v>11</v>
      </c>
    </row>
    <row r="1156" spans="1:8" x14ac:dyDescent="0.25">
      <c r="A1156" t="str">
        <f t="shared" si="18"/>
        <v>31-Jul-18</v>
      </c>
      <c r="B1156" t="s">
        <v>7</v>
      </c>
      <c r="C1156" t="s">
        <v>8</v>
      </c>
      <c r="D1156" t="str">
        <f>"219350105"</f>
        <v>219350105</v>
      </c>
      <c r="E1156" t="s">
        <v>1174</v>
      </c>
      <c r="F1156" t="s">
        <v>7</v>
      </c>
      <c r="G1156">
        <v>5.5E-2</v>
      </c>
      <c r="H1156" t="s">
        <v>11</v>
      </c>
    </row>
    <row r="1157" spans="1:8" x14ac:dyDescent="0.25">
      <c r="A1157" t="str">
        <f t="shared" si="18"/>
        <v>31-Jul-18</v>
      </c>
      <c r="B1157" t="s">
        <v>7</v>
      </c>
      <c r="C1157" t="s">
        <v>8</v>
      </c>
      <c r="D1157" t="str">
        <f>"22160K105"</f>
        <v>22160K105</v>
      </c>
      <c r="E1157" t="s">
        <v>1175</v>
      </c>
      <c r="F1157" t="s">
        <v>7</v>
      </c>
      <c r="G1157">
        <v>0.121</v>
      </c>
      <c r="H1157" t="s">
        <v>11</v>
      </c>
    </row>
    <row r="1158" spans="1:8" x14ac:dyDescent="0.25">
      <c r="A1158" t="str">
        <f t="shared" si="18"/>
        <v>31-Jul-18</v>
      </c>
      <c r="B1158" t="s">
        <v>7</v>
      </c>
      <c r="C1158" t="s">
        <v>8</v>
      </c>
      <c r="D1158" t="str">
        <f>"222070203"</f>
        <v>222070203</v>
      </c>
      <c r="E1158" t="s">
        <v>1176</v>
      </c>
      <c r="F1158" t="s">
        <v>7</v>
      </c>
      <c r="G1158">
        <v>8.0000000000000002E-3</v>
      </c>
      <c r="H1158" t="s">
        <v>11</v>
      </c>
    </row>
    <row r="1159" spans="1:8" x14ac:dyDescent="0.25">
      <c r="A1159" t="str">
        <f t="shared" si="18"/>
        <v>31-Jul-18</v>
      </c>
      <c r="B1159" t="s">
        <v>7</v>
      </c>
      <c r="C1159" t="s">
        <v>8</v>
      </c>
      <c r="D1159" t="str">
        <f>"22822V101"</f>
        <v>22822V101</v>
      </c>
      <c r="E1159" t="s">
        <v>1177</v>
      </c>
      <c r="F1159" t="s">
        <v>7</v>
      </c>
      <c r="G1159">
        <v>0.111</v>
      </c>
      <c r="H1159" t="s">
        <v>11</v>
      </c>
    </row>
    <row r="1160" spans="1:8" x14ac:dyDescent="0.25">
      <c r="A1160" t="str">
        <f t="shared" si="18"/>
        <v>31-Jul-18</v>
      </c>
      <c r="B1160" t="s">
        <v>7</v>
      </c>
      <c r="C1160" t="s">
        <v>8</v>
      </c>
      <c r="D1160" t="str">
        <f>"228368106"</f>
        <v>228368106</v>
      </c>
      <c r="E1160" t="s">
        <v>1178</v>
      </c>
      <c r="F1160" t="s">
        <v>7</v>
      </c>
      <c r="G1160">
        <v>1E-3</v>
      </c>
      <c r="H1160" t="s">
        <v>11</v>
      </c>
    </row>
    <row r="1161" spans="1:8" x14ac:dyDescent="0.25">
      <c r="A1161" t="str">
        <f t="shared" si="18"/>
        <v>31-Jul-18</v>
      </c>
      <c r="B1161" t="s">
        <v>7</v>
      </c>
      <c r="C1161" t="s">
        <v>8</v>
      </c>
      <c r="D1161" t="str">
        <f>"231021106"</f>
        <v>231021106</v>
      </c>
      <c r="E1161" t="s">
        <v>1179</v>
      </c>
      <c r="F1161" t="s">
        <v>7</v>
      </c>
      <c r="G1161">
        <v>0.1</v>
      </c>
      <c r="H1161" t="s">
        <v>11</v>
      </c>
    </row>
    <row r="1162" spans="1:8" x14ac:dyDescent="0.25">
      <c r="A1162" t="str">
        <f t="shared" si="18"/>
        <v>31-Jul-18</v>
      </c>
      <c r="B1162" t="s">
        <v>7</v>
      </c>
      <c r="C1162" t="s">
        <v>8</v>
      </c>
      <c r="D1162" t="str">
        <f>"24906P109"</f>
        <v>24906P109</v>
      </c>
      <c r="E1162" t="s">
        <v>1180</v>
      </c>
      <c r="F1162" t="s">
        <v>7</v>
      </c>
      <c r="G1162">
        <v>2.5999999999999999E-2</v>
      </c>
      <c r="H1162" t="s">
        <v>11</v>
      </c>
    </row>
    <row r="1163" spans="1:8" x14ac:dyDescent="0.25">
      <c r="A1163" t="str">
        <f t="shared" si="18"/>
        <v>31-Jul-18</v>
      </c>
      <c r="B1163" t="s">
        <v>7</v>
      </c>
      <c r="C1163" t="s">
        <v>8</v>
      </c>
      <c r="D1163" t="str">
        <f>"25470M109"</f>
        <v>25470M109</v>
      </c>
      <c r="E1163" t="s">
        <v>1181</v>
      </c>
      <c r="F1163" t="s">
        <v>7</v>
      </c>
      <c r="G1163">
        <v>8.9999999999999993E-3</v>
      </c>
      <c r="H1163" t="s">
        <v>11</v>
      </c>
    </row>
    <row r="1164" spans="1:8" x14ac:dyDescent="0.25">
      <c r="A1164" t="str">
        <f t="shared" si="18"/>
        <v>31-Jul-18</v>
      </c>
      <c r="B1164" t="s">
        <v>7</v>
      </c>
      <c r="C1164" t="s">
        <v>8</v>
      </c>
      <c r="D1164" t="str">
        <f>"23331A109"</f>
        <v>23331A109</v>
      </c>
      <c r="E1164" t="s">
        <v>1182</v>
      </c>
      <c r="F1164" t="s">
        <v>7</v>
      </c>
      <c r="G1164">
        <v>1.7999999999999999E-2</v>
      </c>
      <c r="H1164" t="s">
        <v>11</v>
      </c>
    </row>
    <row r="1165" spans="1:8" x14ac:dyDescent="0.25">
      <c r="A1165" t="str">
        <f t="shared" si="18"/>
        <v>31-Jul-18</v>
      </c>
      <c r="B1165" t="s">
        <v>7</v>
      </c>
      <c r="C1165" t="s">
        <v>8</v>
      </c>
      <c r="D1165" t="str">
        <f>"233331107"</f>
        <v>233331107</v>
      </c>
      <c r="E1165" t="s">
        <v>1183</v>
      </c>
      <c r="F1165" t="s">
        <v>7</v>
      </c>
      <c r="G1165">
        <v>4.1000000000000002E-2</v>
      </c>
      <c r="H1165" t="s">
        <v>11</v>
      </c>
    </row>
    <row r="1166" spans="1:8" x14ac:dyDescent="0.25">
      <c r="A1166" t="str">
        <f t="shared" si="18"/>
        <v>31-Jul-18</v>
      </c>
      <c r="B1166" t="s">
        <v>7</v>
      </c>
      <c r="C1166" t="s">
        <v>8</v>
      </c>
      <c r="D1166" t="str">
        <f>"23355L106"</f>
        <v>23355L106</v>
      </c>
      <c r="E1166" t="s">
        <v>1184</v>
      </c>
      <c r="F1166" t="s">
        <v>7</v>
      </c>
      <c r="G1166">
        <v>6.4000000000000001E-2</v>
      </c>
      <c r="H1166" t="s">
        <v>11</v>
      </c>
    </row>
    <row r="1167" spans="1:8" x14ac:dyDescent="0.25">
      <c r="A1167" t="str">
        <f t="shared" si="18"/>
        <v>31-Jul-18</v>
      </c>
      <c r="B1167" t="s">
        <v>7</v>
      </c>
      <c r="C1167" t="s">
        <v>8</v>
      </c>
      <c r="D1167" t="str">
        <f>"23918K108"</f>
        <v>23918K108</v>
      </c>
      <c r="E1167" t="s">
        <v>1185</v>
      </c>
      <c r="F1167" t="s">
        <v>7</v>
      </c>
      <c r="G1167">
        <v>2.4E-2</v>
      </c>
      <c r="H1167" t="s">
        <v>11</v>
      </c>
    </row>
    <row r="1168" spans="1:8" x14ac:dyDescent="0.25">
      <c r="A1168" t="str">
        <f t="shared" si="18"/>
        <v>31-Jul-18</v>
      </c>
      <c r="B1168" t="s">
        <v>7</v>
      </c>
      <c r="C1168" t="s">
        <v>8</v>
      </c>
      <c r="D1168" t="str">
        <f>"235851102"</f>
        <v>235851102</v>
      </c>
      <c r="E1168" t="s">
        <v>1186</v>
      </c>
      <c r="F1168" t="s">
        <v>7</v>
      </c>
      <c r="G1168">
        <v>7.9000000000000001E-2</v>
      </c>
      <c r="H1168" t="s">
        <v>11</v>
      </c>
    </row>
    <row r="1169" spans="1:8" x14ac:dyDescent="0.25">
      <c r="A1169" t="str">
        <f t="shared" si="18"/>
        <v>31-Jul-18</v>
      </c>
      <c r="B1169" t="s">
        <v>7</v>
      </c>
      <c r="C1169" t="s">
        <v>8</v>
      </c>
      <c r="D1169" t="str">
        <f>"237194105"</f>
        <v>237194105</v>
      </c>
      <c r="E1169" t="s">
        <v>1187</v>
      </c>
      <c r="F1169" t="s">
        <v>7</v>
      </c>
      <c r="G1169">
        <v>2.8000000000000001E-2</v>
      </c>
      <c r="H1169" t="s">
        <v>11</v>
      </c>
    </row>
    <row r="1170" spans="1:8" x14ac:dyDescent="0.25">
      <c r="A1170" t="str">
        <f t="shared" si="18"/>
        <v>31-Jul-18</v>
      </c>
      <c r="B1170" t="s">
        <v>7</v>
      </c>
      <c r="C1170" t="s">
        <v>8</v>
      </c>
      <c r="D1170" t="str">
        <f>"244199105"</f>
        <v>244199105</v>
      </c>
      <c r="E1170" t="s">
        <v>1188</v>
      </c>
      <c r="F1170" t="s">
        <v>7</v>
      </c>
      <c r="G1170">
        <v>0.09</v>
      </c>
      <c r="H1170" t="s">
        <v>11</v>
      </c>
    </row>
    <row r="1171" spans="1:8" x14ac:dyDescent="0.25">
      <c r="A1171" t="str">
        <f t="shared" si="18"/>
        <v>31-Jul-18</v>
      </c>
      <c r="B1171" t="s">
        <v>7</v>
      </c>
      <c r="C1171" t="s">
        <v>8</v>
      </c>
      <c r="D1171" t="str">
        <f>"24703L103"</f>
        <v>24703L103</v>
      </c>
      <c r="E1171" t="s">
        <v>1189</v>
      </c>
      <c r="F1171" t="s">
        <v>7</v>
      </c>
      <c r="G1171">
        <v>3.9E-2</v>
      </c>
      <c r="H1171" t="s">
        <v>11</v>
      </c>
    </row>
    <row r="1172" spans="1:8" x14ac:dyDescent="0.25">
      <c r="A1172" t="str">
        <f t="shared" si="18"/>
        <v>31-Jul-18</v>
      </c>
      <c r="B1172" t="s">
        <v>7</v>
      </c>
      <c r="C1172" t="s">
        <v>8</v>
      </c>
      <c r="D1172" t="str">
        <f>"247361702"</f>
        <v>247361702</v>
      </c>
      <c r="E1172" t="s">
        <v>1190</v>
      </c>
      <c r="F1172" t="s">
        <v>7</v>
      </c>
      <c r="G1172">
        <v>2.4E-2</v>
      </c>
      <c r="H1172" t="s">
        <v>11</v>
      </c>
    </row>
    <row r="1173" spans="1:8" x14ac:dyDescent="0.25">
      <c r="A1173" t="str">
        <f t="shared" si="18"/>
        <v>31-Jul-18</v>
      </c>
      <c r="B1173" t="s">
        <v>7</v>
      </c>
      <c r="C1173" t="s">
        <v>8</v>
      </c>
      <c r="D1173" t="str">
        <f>"25179M103"</f>
        <v>25179M103</v>
      </c>
      <c r="E1173" t="s">
        <v>1191</v>
      </c>
      <c r="F1173" t="s">
        <v>7</v>
      </c>
      <c r="G1173">
        <v>4.5999999999999999E-2</v>
      </c>
      <c r="H1173" t="s">
        <v>11</v>
      </c>
    </row>
    <row r="1174" spans="1:8" x14ac:dyDescent="0.25">
      <c r="A1174" t="str">
        <f t="shared" si="18"/>
        <v>31-Jul-18</v>
      </c>
      <c r="B1174" t="s">
        <v>7</v>
      </c>
      <c r="C1174" t="s">
        <v>8</v>
      </c>
      <c r="D1174" t="str">
        <f>"25278X109"</f>
        <v>25278X109</v>
      </c>
      <c r="E1174" t="s">
        <v>1192</v>
      </c>
      <c r="F1174" t="s">
        <v>7</v>
      </c>
      <c r="G1174">
        <v>1.2E-2</v>
      </c>
      <c r="H1174" t="s">
        <v>11</v>
      </c>
    </row>
    <row r="1175" spans="1:8" x14ac:dyDescent="0.25">
      <c r="A1175" t="str">
        <f t="shared" si="18"/>
        <v>31-Jul-18</v>
      </c>
      <c r="B1175" t="s">
        <v>7</v>
      </c>
      <c r="C1175" t="s">
        <v>8</v>
      </c>
      <c r="D1175" t="str">
        <f>"253868103"</f>
        <v>253868103</v>
      </c>
      <c r="E1175" t="s">
        <v>1193</v>
      </c>
      <c r="F1175" t="s">
        <v>7</v>
      </c>
      <c r="G1175">
        <v>5.0999999999999997E-2</v>
      </c>
      <c r="H1175" t="s">
        <v>11</v>
      </c>
    </row>
    <row r="1176" spans="1:8" x14ac:dyDescent="0.25">
      <c r="A1176" t="str">
        <f t="shared" si="18"/>
        <v>31-Jul-18</v>
      </c>
      <c r="B1176" t="s">
        <v>7</v>
      </c>
      <c r="C1176" t="s">
        <v>8</v>
      </c>
      <c r="D1176" t="str">
        <f>"254709108"</f>
        <v>254709108</v>
      </c>
      <c r="E1176" t="s">
        <v>1194</v>
      </c>
      <c r="F1176" t="s">
        <v>7</v>
      </c>
      <c r="G1176">
        <v>6.8000000000000005E-2</v>
      </c>
      <c r="H1176" t="s">
        <v>11</v>
      </c>
    </row>
    <row r="1177" spans="1:8" x14ac:dyDescent="0.25">
      <c r="A1177" t="str">
        <f t="shared" si="18"/>
        <v>31-Jul-18</v>
      </c>
      <c r="B1177" t="s">
        <v>7</v>
      </c>
      <c r="C1177" t="s">
        <v>8</v>
      </c>
      <c r="D1177" t="str">
        <f>"25470F104"</f>
        <v>25470F104</v>
      </c>
      <c r="E1177" t="s">
        <v>1195</v>
      </c>
      <c r="F1177" t="s">
        <v>7</v>
      </c>
      <c r="G1177">
        <v>1.2E-2</v>
      </c>
      <c r="H1177" t="s">
        <v>11</v>
      </c>
    </row>
    <row r="1178" spans="1:8" x14ac:dyDescent="0.25">
      <c r="A1178" t="str">
        <f t="shared" si="18"/>
        <v>31-Jul-18</v>
      </c>
      <c r="B1178" t="s">
        <v>7</v>
      </c>
      <c r="C1178" t="s">
        <v>8</v>
      </c>
      <c r="D1178" t="str">
        <f>"25470F302"</f>
        <v>25470F302</v>
      </c>
      <c r="E1178" t="s">
        <v>1195</v>
      </c>
      <c r="F1178" t="s">
        <v>7</v>
      </c>
      <c r="G1178">
        <v>1.2999999999999999E-2</v>
      </c>
      <c r="H1178" t="s">
        <v>11</v>
      </c>
    </row>
    <row r="1179" spans="1:8" x14ac:dyDescent="0.25">
      <c r="A1179" t="str">
        <f t="shared" si="18"/>
        <v>31-Jul-18</v>
      </c>
      <c r="B1179" t="s">
        <v>7</v>
      </c>
      <c r="C1179" t="s">
        <v>8</v>
      </c>
      <c r="D1179" t="str">
        <f>"256677105"</f>
        <v>256677105</v>
      </c>
      <c r="E1179" t="s">
        <v>1196</v>
      </c>
      <c r="F1179" t="s">
        <v>7</v>
      </c>
      <c r="G1179">
        <v>0.03</v>
      </c>
      <c r="H1179" t="s">
        <v>11</v>
      </c>
    </row>
    <row r="1180" spans="1:8" x14ac:dyDescent="0.25">
      <c r="A1180" t="str">
        <f t="shared" si="18"/>
        <v>31-Jul-18</v>
      </c>
      <c r="B1180" t="s">
        <v>7</v>
      </c>
      <c r="C1180" t="s">
        <v>8</v>
      </c>
      <c r="D1180" t="str">
        <f>"256746108"</f>
        <v>256746108</v>
      </c>
      <c r="E1180" t="s">
        <v>1197</v>
      </c>
      <c r="F1180" t="s">
        <v>7</v>
      </c>
      <c r="G1180">
        <v>2.3E-2</v>
      </c>
      <c r="H1180" t="s">
        <v>11</v>
      </c>
    </row>
    <row r="1181" spans="1:8" x14ac:dyDescent="0.25">
      <c r="A1181" t="str">
        <f t="shared" si="18"/>
        <v>31-Jul-18</v>
      </c>
      <c r="B1181" t="s">
        <v>7</v>
      </c>
      <c r="C1181" t="s">
        <v>8</v>
      </c>
      <c r="D1181" t="str">
        <f>"25746U109"</f>
        <v>25746U109</v>
      </c>
      <c r="E1181" t="s">
        <v>1198</v>
      </c>
      <c r="F1181" t="s">
        <v>7</v>
      </c>
      <c r="G1181">
        <v>9.7000000000000003E-2</v>
      </c>
      <c r="H1181" t="s">
        <v>11</v>
      </c>
    </row>
    <row r="1182" spans="1:8" x14ac:dyDescent="0.25">
      <c r="A1182" t="str">
        <f t="shared" si="18"/>
        <v>31-Jul-18</v>
      </c>
      <c r="B1182" t="s">
        <v>7</v>
      </c>
      <c r="C1182" t="s">
        <v>8</v>
      </c>
      <c r="D1182" t="str">
        <f>"25754A201"</f>
        <v>25754A201</v>
      </c>
      <c r="E1182" t="s">
        <v>1199</v>
      </c>
      <c r="F1182" t="s">
        <v>7</v>
      </c>
      <c r="G1182">
        <v>2.1000000000000001E-2</v>
      </c>
      <c r="H1182" t="s">
        <v>11</v>
      </c>
    </row>
    <row r="1183" spans="1:8" x14ac:dyDescent="0.25">
      <c r="A1183" t="str">
        <f t="shared" si="18"/>
        <v>31-Jul-18</v>
      </c>
      <c r="B1183" t="s">
        <v>7</v>
      </c>
      <c r="C1183" t="s">
        <v>8</v>
      </c>
      <c r="D1183" t="str">
        <f>"260003108"</f>
        <v>260003108</v>
      </c>
      <c r="E1183" t="s">
        <v>1200</v>
      </c>
      <c r="F1183" t="s">
        <v>7</v>
      </c>
      <c r="G1183">
        <v>0.03</v>
      </c>
      <c r="H1183" t="s">
        <v>11</v>
      </c>
    </row>
    <row r="1184" spans="1:8" x14ac:dyDescent="0.25">
      <c r="A1184" t="str">
        <f t="shared" si="18"/>
        <v>31-Jul-18</v>
      </c>
      <c r="B1184" t="s">
        <v>7</v>
      </c>
      <c r="C1184" t="s">
        <v>8</v>
      </c>
      <c r="D1184" t="str">
        <f>"26078J100"</f>
        <v>26078J100</v>
      </c>
      <c r="E1184" t="s">
        <v>1201</v>
      </c>
      <c r="F1184" t="s">
        <v>7</v>
      </c>
      <c r="G1184">
        <v>0.42499999999999999</v>
      </c>
      <c r="H1184" t="s">
        <v>11</v>
      </c>
    </row>
    <row r="1185" spans="1:8" x14ac:dyDescent="0.25">
      <c r="A1185" t="str">
        <f t="shared" si="18"/>
        <v>31-Jul-18</v>
      </c>
      <c r="B1185" t="s">
        <v>7</v>
      </c>
      <c r="C1185" t="s">
        <v>8</v>
      </c>
      <c r="D1185" t="str">
        <f>"26441C204"</f>
        <v>26441C204</v>
      </c>
      <c r="E1185" t="s">
        <v>1202</v>
      </c>
      <c r="F1185" t="s">
        <v>7</v>
      </c>
      <c r="G1185">
        <v>0.13300000000000001</v>
      </c>
      <c r="H1185" t="s">
        <v>11</v>
      </c>
    </row>
    <row r="1186" spans="1:8" x14ac:dyDescent="0.25">
      <c r="A1186" t="str">
        <f t="shared" si="18"/>
        <v>31-Jul-18</v>
      </c>
      <c r="B1186" t="s">
        <v>7</v>
      </c>
      <c r="C1186" t="s">
        <v>8</v>
      </c>
      <c r="D1186" t="str">
        <f>"264411505"</f>
        <v>264411505</v>
      </c>
      <c r="E1186" t="s">
        <v>1203</v>
      </c>
      <c r="F1186" t="s">
        <v>7</v>
      </c>
      <c r="G1186">
        <v>2.4E-2</v>
      </c>
      <c r="H1186" t="s">
        <v>11</v>
      </c>
    </row>
    <row r="1187" spans="1:8" x14ac:dyDescent="0.25">
      <c r="A1187" t="str">
        <f t="shared" si="18"/>
        <v>31-Jul-18</v>
      </c>
      <c r="B1187" t="s">
        <v>7</v>
      </c>
      <c r="C1187" t="s">
        <v>8</v>
      </c>
      <c r="D1187" t="str">
        <f>"269246401"</f>
        <v>269246401</v>
      </c>
      <c r="E1187" t="s">
        <v>1204</v>
      </c>
      <c r="F1187" t="s">
        <v>7</v>
      </c>
      <c r="G1187">
        <v>3.7999999999999999E-2</v>
      </c>
      <c r="H1187" t="s">
        <v>11</v>
      </c>
    </row>
    <row r="1188" spans="1:8" x14ac:dyDescent="0.25">
      <c r="A1188" t="str">
        <f t="shared" si="18"/>
        <v>31-Jul-18</v>
      </c>
      <c r="B1188" t="s">
        <v>7</v>
      </c>
      <c r="C1188" t="s">
        <v>8</v>
      </c>
      <c r="D1188" t="str">
        <f>"26875P101"</f>
        <v>26875P101</v>
      </c>
      <c r="E1188" t="s">
        <v>1205</v>
      </c>
      <c r="F1188" t="s">
        <v>7</v>
      </c>
      <c r="G1188">
        <v>8.2000000000000003E-2</v>
      </c>
      <c r="H1188" t="s">
        <v>11</v>
      </c>
    </row>
    <row r="1189" spans="1:8" x14ac:dyDescent="0.25">
      <c r="A1189" t="str">
        <f t="shared" si="18"/>
        <v>31-Jul-18</v>
      </c>
      <c r="B1189" t="s">
        <v>7</v>
      </c>
      <c r="C1189" t="s">
        <v>8</v>
      </c>
      <c r="D1189" t="str">
        <f>"26884L109"</f>
        <v>26884L109</v>
      </c>
      <c r="E1189" t="s">
        <v>1206</v>
      </c>
      <c r="F1189" t="s">
        <v>7</v>
      </c>
      <c r="G1189">
        <v>2.1999999999999999E-2</v>
      </c>
      <c r="H1189" t="s">
        <v>11</v>
      </c>
    </row>
    <row r="1190" spans="1:8" x14ac:dyDescent="0.25">
      <c r="A1190" t="str">
        <f t="shared" si="18"/>
        <v>31-Jul-18</v>
      </c>
      <c r="B1190" t="s">
        <v>7</v>
      </c>
      <c r="C1190" t="s">
        <v>8</v>
      </c>
      <c r="D1190" t="str">
        <f>"27579R104"</f>
        <v>27579R104</v>
      </c>
      <c r="E1190" t="s">
        <v>1207</v>
      </c>
      <c r="F1190" t="s">
        <v>7</v>
      </c>
      <c r="G1190">
        <v>1.9E-2</v>
      </c>
      <c r="H1190" t="s">
        <v>11</v>
      </c>
    </row>
    <row r="1191" spans="1:8" x14ac:dyDescent="0.25">
      <c r="A1191" t="str">
        <f t="shared" si="18"/>
        <v>31-Jul-18</v>
      </c>
      <c r="B1191" t="s">
        <v>7</v>
      </c>
      <c r="C1191" t="s">
        <v>8</v>
      </c>
      <c r="D1191" t="str">
        <f>"277432100"</f>
        <v>277432100</v>
      </c>
      <c r="E1191" t="s">
        <v>1208</v>
      </c>
      <c r="F1191" t="s">
        <v>7</v>
      </c>
      <c r="G1191">
        <v>2.9000000000000001E-2</v>
      </c>
      <c r="H1191" t="s">
        <v>11</v>
      </c>
    </row>
    <row r="1192" spans="1:8" x14ac:dyDescent="0.25">
      <c r="A1192" t="str">
        <f t="shared" si="18"/>
        <v>31-Jul-18</v>
      </c>
      <c r="B1192" t="s">
        <v>7</v>
      </c>
      <c r="C1192" t="s">
        <v>8</v>
      </c>
      <c r="D1192" t="str">
        <f>"G29183103"</f>
        <v>G29183103</v>
      </c>
      <c r="E1192" t="s">
        <v>1209</v>
      </c>
      <c r="F1192" t="s">
        <v>7</v>
      </c>
      <c r="G1192">
        <v>8.5000000000000006E-2</v>
      </c>
      <c r="H1192" t="s">
        <v>11</v>
      </c>
    </row>
    <row r="1193" spans="1:8" x14ac:dyDescent="0.25">
      <c r="A1193" t="str">
        <f t="shared" si="18"/>
        <v>31-Jul-18</v>
      </c>
      <c r="B1193" t="s">
        <v>7</v>
      </c>
      <c r="C1193" t="s">
        <v>8</v>
      </c>
      <c r="D1193" t="str">
        <f>"278265103"</f>
        <v>278265103</v>
      </c>
      <c r="E1193" t="s">
        <v>1210</v>
      </c>
      <c r="F1193" t="s">
        <v>7</v>
      </c>
      <c r="G1193">
        <v>6.0000000000000001E-3</v>
      </c>
      <c r="H1193" t="s">
        <v>11</v>
      </c>
    </row>
    <row r="1194" spans="1:8" x14ac:dyDescent="0.25">
      <c r="A1194" t="str">
        <f t="shared" si="18"/>
        <v>31-Jul-18</v>
      </c>
      <c r="B1194" t="s">
        <v>7</v>
      </c>
      <c r="C1194" t="s">
        <v>8</v>
      </c>
      <c r="D1194" t="str">
        <f>"278865100"</f>
        <v>278865100</v>
      </c>
      <c r="E1194" t="s">
        <v>1211</v>
      </c>
      <c r="F1194" t="s">
        <v>7</v>
      </c>
      <c r="G1194">
        <v>0.161</v>
      </c>
      <c r="H1194" t="s">
        <v>11</v>
      </c>
    </row>
    <row r="1195" spans="1:8" x14ac:dyDescent="0.25">
      <c r="A1195" t="str">
        <f t="shared" si="18"/>
        <v>31-Jul-18</v>
      </c>
      <c r="B1195" t="s">
        <v>7</v>
      </c>
      <c r="C1195" t="s">
        <v>8</v>
      </c>
      <c r="D1195" t="str">
        <f>"281020107"</f>
        <v>281020107</v>
      </c>
      <c r="E1195" t="s">
        <v>1212</v>
      </c>
      <c r="F1195" t="s">
        <v>7</v>
      </c>
      <c r="G1195">
        <v>4.3999999999999997E-2</v>
      </c>
      <c r="H1195" t="s">
        <v>11</v>
      </c>
    </row>
    <row r="1196" spans="1:8" x14ac:dyDescent="0.25">
      <c r="A1196" t="str">
        <f t="shared" si="18"/>
        <v>31-Jul-18</v>
      </c>
      <c r="B1196" t="s">
        <v>7</v>
      </c>
      <c r="C1196" t="s">
        <v>8</v>
      </c>
      <c r="D1196" t="str">
        <f>"28176E108"</f>
        <v>28176E108</v>
      </c>
      <c r="E1196" t="s">
        <v>1213</v>
      </c>
      <c r="F1196" t="s">
        <v>7</v>
      </c>
      <c r="G1196">
        <v>7.0999999999999994E-2</v>
      </c>
      <c r="H1196" t="s">
        <v>11</v>
      </c>
    </row>
    <row r="1197" spans="1:8" x14ac:dyDescent="0.25">
      <c r="A1197" t="str">
        <f t="shared" si="18"/>
        <v>31-Jul-18</v>
      </c>
      <c r="B1197" t="s">
        <v>7</v>
      </c>
      <c r="C1197" t="s">
        <v>8</v>
      </c>
      <c r="D1197" t="str">
        <f>"285512109"</f>
        <v>285512109</v>
      </c>
      <c r="E1197" t="s">
        <v>1214</v>
      </c>
      <c r="F1197" t="s">
        <v>7</v>
      </c>
      <c r="G1197">
        <v>8.2000000000000003E-2</v>
      </c>
      <c r="H1197" t="s">
        <v>11</v>
      </c>
    </row>
    <row r="1198" spans="1:8" x14ac:dyDescent="0.25">
      <c r="A1198" t="str">
        <f t="shared" si="18"/>
        <v>31-Jul-18</v>
      </c>
      <c r="B1198" t="s">
        <v>7</v>
      </c>
      <c r="C1198" t="s">
        <v>8</v>
      </c>
      <c r="D1198" t="str">
        <f>"532457108"</f>
        <v>532457108</v>
      </c>
      <c r="E1198" t="s">
        <v>1215</v>
      </c>
      <c r="F1198" t="s">
        <v>7</v>
      </c>
      <c r="G1198">
        <v>0.28799999999999998</v>
      </c>
      <c r="H1198" t="s">
        <v>11</v>
      </c>
    </row>
    <row r="1199" spans="1:8" x14ac:dyDescent="0.25">
      <c r="A1199" t="str">
        <f t="shared" si="18"/>
        <v>31-Jul-18</v>
      </c>
      <c r="B1199" t="s">
        <v>7</v>
      </c>
      <c r="C1199" t="s">
        <v>8</v>
      </c>
      <c r="D1199" t="str">
        <f>"291011104"</f>
        <v>291011104</v>
      </c>
      <c r="E1199" t="s">
        <v>1216</v>
      </c>
      <c r="F1199" t="s">
        <v>7</v>
      </c>
      <c r="G1199">
        <v>5.8000000000000003E-2</v>
      </c>
      <c r="H1199" t="s">
        <v>11</v>
      </c>
    </row>
    <row r="1200" spans="1:8" x14ac:dyDescent="0.25">
      <c r="A1200" t="str">
        <f t="shared" si="18"/>
        <v>31-Jul-18</v>
      </c>
      <c r="B1200" t="s">
        <v>7</v>
      </c>
      <c r="C1200" t="s">
        <v>8</v>
      </c>
      <c r="D1200" t="str">
        <f>"29364G103"</f>
        <v>29364G103</v>
      </c>
      <c r="E1200" t="s">
        <v>1217</v>
      </c>
      <c r="F1200" t="s">
        <v>7</v>
      </c>
      <c r="G1200">
        <v>3.4000000000000002E-2</v>
      </c>
      <c r="H1200" t="s">
        <v>11</v>
      </c>
    </row>
    <row r="1201" spans="1:8" x14ac:dyDescent="0.25">
      <c r="A1201" t="str">
        <f t="shared" si="18"/>
        <v>31-Jul-18</v>
      </c>
      <c r="B1201" t="s">
        <v>7</v>
      </c>
      <c r="C1201" t="s">
        <v>8</v>
      </c>
      <c r="D1201" t="str">
        <f>"29444U700"</f>
        <v>29444U700</v>
      </c>
      <c r="E1201" t="s">
        <v>1218</v>
      </c>
      <c r="F1201" t="s">
        <v>7</v>
      </c>
      <c r="G1201">
        <v>0.14499999999999999</v>
      </c>
      <c r="H1201" t="s">
        <v>11</v>
      </c>
    </row>
    <row r="1202" spans="1:8" x14ac:dyDescent="0.25">
      <c r="A1202" t="str">
        <f t="shared" si="18"/>
        <v>31-Jul-18</v>
      </c>
      <c r="B1202" t="s">
        <v>7</v>
      </c>
      <c r="C1202" t="s">
        <v>8</v>
      </c>
      <c r="D1202" t="str">
        <f>"29476L107"</f>
        <v>29476L107</v>
      </c>
      <c r="E1202" t="s">
        <v>1219</v>
      </c>
      <c r="F1202" t="s">
        <v>7</v>
      </c>
      <c r="G1202">
        <v>5.6000000000000001E-2</v>
      </c>
      <c r="H1202" t="s">
        <v>11</v>
      </c>
    </row>
    <row r="1203" spans="1:8" x14ac:dyDescent="0.25">
      <c r="A1203" t="str">
        <f t="shared" si="18"/>
        <v>31-Jul-18</v>
      </c>
      <c r="B1203" t="s">
        <v>7</v>
      </c>
      <c r="C1203" t="s">
        <v>8</v>
      </c>
      <c r="D1203" t="str">
        <f>"297178105"</f>
        <v>297178105</v>
      </c>
      <c r="E1203" t="s">
        <v>1220</v>
      </c>
      <c r="F1203" t="s">
        <v>7</v>
      </c>
      <c r="G1203">
        <v>3.9E-2</v>
      </c>
      <c r="H1203" t="s">
        <v>11</v>
      </c>
    </row>
    <row r="1204" spans="1:8" x14ac:dyDescent="0.25">
      <c r="A1204" t="str">
        <f t="shared" si="18"/>
        <v>31-Jul-18</v>
      </c>
      <c r="B1204" t="s">
        <v>7</v>
      </c>
      <c r="C1204" t="s">
        <v>8</v>
      </c>
      <c r="D1204" t="str">
        <f>"518439104"</f>
        <v>518439104</v>
      </c>
      <c r="E1204" t="s">
        <v>1221</v>
      </c>
      <c r="F1204" t="s">
        <v>7</v>
      </c>
      <c r="G1204">
        <v>6.6000000000000003E-2</v>
      </c>
      <c r="H1204" t="s">
        <v>11</v>
      </c>
    </row>
    <row r="1205" spans="1:8" x14ac:dyDescent="0.25">
      <c r="A1205" t="str">
        <f t="shared" si="18"/>
        <v>31-Jul-18</v>
      </c>
      <c r="B1205" t="s">
        <v>7</v>
      </c>
      <c r="C1205" t="s">
        <v>8</v>
      </c>
      <c r="D1205" t="str">
        <f>"G3223R108"</f>
        <v>G3223R108</v>
      </c>
      <c r="E1205" t="s">
        <v>1222</v>
      </c>
      <c r="F1205" t="s">
        <v>7</v>
      </c>
      <c r="G1205">
        <v>8.9999999999999993E-3</v>
      </c>
      <c r="H1205" t="s">
        <v>11</v>
      </c>
    </row>
    <row r="1206" spans="1:8" x14ac:dyDescent="0.25">
      <c r="A1206" t="str">
        <f t="shared" si="18"/>
        <v>31-Jul-18</v>
      </c>
      <c r="B1206" t="s">
        <v>7</v>
      </c>
      <c r="C1206" t="s">
        <v>8</v>
      </c>
      <c r="D1206" t="str">
        <f>"30034W106"</f>
        <v>30034W106</v>
      </c>
      <c r="E1206" t="s">
        <v>1223</v>
      </c>
      <c r="F1206" t="s">
        <v>7</v>
      </c>
      <c r="G1206">
        <v>0.01</v>
      </c>
      <c r="H1206" t="s">
        <v>11</v>
      </c>
    </row>
    <row r="1207" spans="1:8" x14ac:dyDescent="0.25">
      <c r="A1207" t="str">
        <f t="shared" si="18"/>
        <v>31-Jul-18</v>
      </c>
      <c r="B1207" t="s">
        <v>7</v>
      </c>
      <c r="C1207" t="s">
        <v>8</v>
      </c>
      <c r="D1207" t="str">
        <f>"30040W108"</f>
        <v>30040W108</v>
      </c>
      <c r="E1207" t="s">
        <v>1224</v>
      </c>
      <c r="F1207" t="s">
        <v>7</v>
      </c>
      <c r="G1207">
        <v>8.3000000000000004E-2</v>
      </c>
      <c r="H1207" t="s">
        <v>11</v>
      </c>
    </row>
    <row r="1208" spans="1:8" x14ac:dyDescent="0.25">
      <c r="A1208" t="str">
        <f t="shared" si="18"/>
        <v>31-Jul-18</v>
      </c>
      <c r="B1208" t="s">
        <v>7</v>
      </c>
      <c r="C1208" t="s">
        <v>8</v>
      </c>
      <c r="D1208" t="str">
        <f>"30161N101"</f>
        <v>30161N101</v>
      </c>
      <c r="E1208" t="s">
        <v>1225</v>
      </c>
      <c r="F1208" t="s">
        <v>7</v>
      </c>
      <c r="G1208">
        <v>0.17499999999999999</v>
      </c>
      <c r="H1208" t="s">
        <v>11</v>
      </c>
    </row>
    <row r="1209" spans="1:8" x14ac:dyDescent="0.25">
      <c r="A1209" t="str">
        <f t="shared" si="18"/>
        <v>31-Jul-18</v>
      </c>
      <c r="B1209" t="s">
        <v>7</v>
      </c>
      <c r="C1209" t="s">
        <v>8</v>
      </c>
      <c r="D1209" t="str">
        <f>"30212P303"</f>
        <v>30212P303</v>
      </c>
      <c r="E1209" t="s">
        <v>1226</v>
      </c>
      <c r="F1209" t="s">
        <v>7</v>
      </c>
      <c r="G1209">
        <v>3.5000000000000003E-2</v>
      </c>
      <c r="H1209" t="s">
        <v>11</v>
      </c>
    </row>
    <row r="1210" spans="1:8" x14ac:dyDescent="0.25">
      <c r="A1210" t="str">
        <f t="shared" si="18"/>
        <v>31-Jul-18</v>
      </c>
      <c r="B1210" t="s">
        <v>7</v>
      </c>
      <c r="C1210" t="s">
        <v>8</v>
      </c>
      <c r="D1210" t="str">
        <f>"302130109"</f>
        <v>302130109</v>
      </c>
      <c r="E1210" t="s">
        <v>1227</v>
      </c>
      <c r="F1210" t="s">
        <v>7</v>
      </c>
      <c r="G1210">
        <v>5.8999999999999997E-2</v>
      </c>
      <c r="H1210" t="s">
        <v>11</v>
      </c>
    </row>
    <row r="1211" spans="1:8" x14ac:dyDescent="0.25">
      <c r="A1211" t="str">
        <f t="shared" si="18"/>
        <v>31-Jul-18</v>
      </c>
      <c r="B1211" t="s">
        <v>7</v>
      </c>
      <c r="C1211" t="s">
        <v>8</v>
      </c>
      <c r="D1211" t="str">
        <f>"30219G108"</f>
        <v>30219G108</v>
      </c>
      <c r="E1211" t="s">
        <v>1228</v>
      </c>
      <c r="F1211" t="s">
        <v>7</v>
      </c>
      <c r="G1211">
        <v>4.9000000000000002E-2</v>
      </c>
      <c r="H1211" t="s">
        <v>11</v>
      </c>
    </row>
    <row r="1212" spans="1:8" x14ac:dyDescent="0.25">
      <c r="A1212" t="str">
        <f t="shared" si="18"/>
        <v>31-Jul-18</v>
      </c>
      <c r="B1212" t="s">
        <v>7</v>
      </c>
      <c r="C1212" t="s">
        <v>8</v>
      </c>
      <c r="D1212" t="str">
        <f>"30225T102"</f>
        <v>30225T102</v>
      </c>
      <c r="E1212" t="s">
        <v>1229</v>
      </c>
      <c r="F1212" t="s">
        <v>7</v>
      </c>
      <c r="G1212">
        <v>1.4999999999999999E-2</v>
      </c>
      <c r="H1212" t="s">
        <v>11</v>
      </c>
    </row>
    <row r="1213" spans="1:8" x14ac:dyDescent="0.25">
      <c r="A1213" t="str">
        <f t="shared" si="18"/>
        <v>31-Jul-18</v>
      </c>
      <c r="B1213" t="s">
        <v>7</v>
      </c>
      <c r="C1213" t="s">
        <v>8</v>
      </c>
      <c r="D1213" t="str">
        <f>"30231G102"</f>
        <v>30231G102</v>
      </c>
      <c r="E1213" t="s">
        <v>1230</v>
      </c>
      <c r="F1213" t="s">
        <v>7</v>
      </c>
      <c r="G1213">
        <v>0.72299999999999998</v>
      </c>
      <c r="H1213" t="s">
        <v>11</v>
      </c>
    </row>
    <row r="1214" spans="1:8" x14ac:dyDescent="0.25">
      <c r="A1214" t="str">
        <f t="shared" si="18"/>
        <v>31-Jul-18</v>
      </c>
      <c r="B1214" t="s">
        <v>7</v>
      </c>
      <c r="C1214" t="s">
        <v>8</v>
      </c>
      <c r="D1214" t="str">
        <f>"315616102"</f>
        <v>315616102</v>
      </c>
      <c r="E1214" t="s">
        <v>1231</v>
      </c>
      <c r="F1214" t="s">
        <v>7</v>
      </c>
      <c r="G1214">
        <v>2.5000000000000001E-2</v>
      </c>
      <c r="H1214" t="s">
        <v>11</v>
      </c>
    </row>
    <row r="1215" spans="1:8" x14ac:dyDescent="0.25">
      <c r="A1215" t="str">
        <f t="shared" si="18"/>
        <v>31-Jul-18</v>
      </c>
      <c r="B1215" t="s">
        <v>7</v>
      </c>
      <c r="C1215" t="s">
        <v>8</v>
      </c>
      <c r="D1215" t="str">
        <f>"302445101"</f>
        <v>302445101</v>
      </c>
      <c r="E1215" t="s">
        <v>1232</v>
      </c>
      <c r="F1215" t="s">
        <v>7</v>
      </c>
      <c r="G1215">
        <v>1.7000000000000001E-2</v>
      </c>
      <c r="H1215" t="s">
        <v>11</v>
      </c>
    </row>
    <row r="1216" spans="1:8" x14ac:dyDescent="0.25">
      <c r="A1216" t="str">
        <f t="shared" si="18"/>
        <v>31-Jul-18</v>
      </c>
      <c r="B1216" t="s">
        <v>7</v>
      </c>
      <c r="C1216" t="s">
        <v>8</v>
      </c>
      <c r="D1216" t="str">
        <f>"302491303"</f>
        <v>302491303</v>
      </c>
      <c r="E1216" t="s">
        <v>1233</v>
      </c>
      <c r="F1216" t="s">
        <v>7</v>
      </c>
      <c r="G1216">
        <v>0.03</v>
      </c>
      <c r="H1216" t="s">
        <v>11</v>
      </c>
    </row>
    <row r="1217" spans="1:8" x14ac:dyDescent="0.25">
      <c r="A1217" t="str">
        <f t="shared" si="18"/>
        <v>31-Jul-18</v>
      </c>
      <c r="B1217" t="s">
        <v>7</v>
      </c>
      <c r="C1217" t="s">
        <v>8</v>
      </c>
      <c r="D1217" t="str">
        <f>"30303M102"</f>
        <v>30303M102</v>
      </c>
      <c r="E1217" t="s">
        <v>1234</v>
      </c>
      <c r="F1217" t="s">
        <v>7</v>
      </c>
      <c r="G1217">
        <v>0.64300000000000002</v>
      </c>
      <c r="H1217" t="s">
        <v>11</v>
      </c>
    </row>
    <row r="1218" spans="1:8" x14ac:dyDescent="0.25">
      <c r="A1218" t="str">
        <f t="shared" ref="A1218:A1281" si="19">"31-Jul-18"</f>
        <v>31-Jul-18</v>
      </c>
      <c r="B1218" t="s">
        <v>7</v>
      </c>
      <c r="C1218" t="s">
        <v>8</v>
      </c>
      <c r="D1218" t="str">
        <f>"311900104"</f>
        <v>311900104</v>
      </c>
      <c r="E1218" t="s">
        <v>1235</v>
      </c>
      <c r="F1218" t="s">
        <v>7</v>
      </c>
      <c r="G1218">
        <v>3.7999999999999999E-2</v>
      </c>
      <c r="H1218" t="s">
        <v>11</v>
      </c>
    </row>
    <row r="1219" spans="1:8" x14ac:dyDescent="0.25">
      <c r="A1219" t="str">
        <f t="shared" si="19"/>
        <v>31-Jul-18</v>
      </c>
      <c r="B1219" t="s">
        <v>7</v>
      </c>
      <c r="C1219" t="s">
        <v>8</v>
      </c>
      <c r="D1219" t="str">
        <f>"31428X106"</f>
        <v>31428X106</v>
      </c>
      <c r="E1219" t="s">
        <v>1236</v>
      </c>
      <c r="F1219" t="s">
        <v>7</v>
      </c>
      <c r="G1219">
        <v>0.129</v>
      </c>
      <c r="H1219" t="s">
        <v>11</v>
      </c>
    </row>
    <row r="1220" spans="1:8" x14ac:dyDescent="0.25">
      <c r="A1220" t="str">
        <f t="shared" si="19"/>
        <v>31-Jul-18</v>
      </c>
      <c r="B1220" t="s">
        <v>7</v>
      </c>
      <c r="C1220" t="s">
        <v>8</v>
      </c>
      <c r="D1220" t="str">
        <f>"313747206"</f>
        <v>313747206</v>
      </c>
      <c r="E1220" t="s">
        <v>1237</v>
      </c>
      <c r="F1220" t="s">
        <v>7</v>
      </c>
      <c r="G1220">
        <v>2.1999999999999999E-2</v>
      </c>
      <c r="H1220" t="s">
        <v>11</v>
      </c>
    </row>
    <row r="1221" spans="1:8" x14ac:dyDescent="0.25">
      <c r="A1221" t="str">
        <f t="shared" si="19"/>
        <v>31-Jul-18</v>
      </c>
      <c r="B1221" t="s">
        <v>7</v>
      </c>
      <c r="C1221" t="s">
        <v>8</v>
      </c>
      <c r="D1221" t="str">
        <f>"31620R303"</f>
        <v>31620R303</v>
      </c>
      <c r="E1221" t="s">
        <v>1238</v>
      </c>
      <c r="F1221" t="s">
        <v>7</v>
      </c>
      <c r="G1221">
        <v>1.2E-2</v>
      </c>
      <c r="H1221" t="s">
        <v>11</v>
      </c>
    </row>
    <row r="1222" spans="1:8" x14ac:dyDescent="0.25">
      <c r="A1222" t="str">
        <f t="shared" si="19"/>
        <v>31-Jul-18</v>
      </c>
      <c r="B1222" t="s">
        <v>7</v>
      </c>
      <c r="C1222" t="s">
        <v>8</v>
      </c>
      <c r="D1222" t="str">
        <f>"31620M106"</f>
        <v>31620M106</v>
      </c>
      <c r="E1222" t="s">
        <v>1239</v>
      </c>
      <c r="F1222" t="s">
        <v>7</v>
      </c>
      <c r="G1222">
        <v>0.08</v>
      </c>
      <c r="H1222" t="s">
        <v>11</v>
      </c>
    </row>
    <row r="1223" spans="1:8" x14ac:dyDescent="0.25">
      <c r="A1223" t="str">
        <f t="shared" si="19"/>
        <v>31-Jul-18</v>
      </c>
      <c r="B1223" t="s">
        <v>7</v>
      </c>
      <c r="C1223" t="s">
        <v>8</v>
      </c>
      <c r="D1223" t="str">
        <f>"316773100"</f>
        <v>316773100</v>
      </c>
      <c r="E1223" t="s">
        <v>1240</v>
      </c>
      <c r="F1223" t="s">
        <v>7</v>
      </c>
      <c r="G1223">
        <v>4.8000000000000001E-2</v>
      </c>
      <c r="H1223" t="s">
        <v>11</v>
      </c>
    </row>
    <row r="1224" spans="1:8" x14ac:dyDescent="0.25">
      <c r="A1224" t="str">
        <f t="shared" si="19"/>
        <v>31-Jul-18</v>
      </c>
      <c r="B1224" t="s">
        <v>7</v>
      </c>
      <c r="C1224" t="s">
        <v>8</v>
      </c>
      <c r="D1224" t="str">
        <f>"32008D106"</f>
        <v>32008D106</v>
      </c>
      <c r="E1224" t="s">
        <v>1241</v>
      </c>
      <c r="F1224" t="s">
        <v>7</v>
      </c>
      <c r="G1224">
        <v>8.9999999999999993E-3</v>
      </c>
      <c r="H1224" t="s">
        <v>11</v>
      </c>
    </row>
    <row r="1225" spans="1:8" x14ac:dyDescent="0.25">
      <c r="A1225" t="str">
        <f t="shared" si="19"/>
        <v>31-Jul-18</v>
      </c>
      <c r="B1225" t="s">
        <v>7</v>
      </c>
      <c r="C1225" t="s">
        <v>8</v>
      </c>
      <c r="D1225" t="str">
        <f>"33616C100"</f>
        <v>33616C100</v>
      </c>
      <c r="E1225" t="s">
        <v>1242</v>
      </c>
      <c r="F1225" t="s">
        <v>7</v>
      </c>
      <c r="G1225">
        <v>3.5000000000000003E-2</v>
      </c>
      <c r="H1225" t="s">
        <v>11</v>
      </c>
    </row>
    <row r="1226" spans="1:8" x14ac:dyDescent="0.25">
      <c r="A1226" t="str">
        <f t="shared" si="19"/>
        <v>31-Jul-18</v>
      </c>
      <c r="B1226" t="s">
        <v>7</v>
      </c>
      <c r="C1226" t="s">
        <v>8</v>
      </c>
      <c r="D1226" t="str">
        <f>"337932107"</f>
        <v>337932107</v>
      </c>
      <c r="E1226" t="s">
        <v>1243</v>
      </c>
      <c r="F1226" t="s">
        <v>7</v>
      </c>
      <c r="G1226">
        <v>1.4999999999999999E-2</v>
      </c>
      <c r="H1226" t="s">
        <v>11</v>
      </c>
    </row>
    <row r="1227" spans="1:8" x14ac:dyDescent="0.25">
      <c r="A1227" t="str">
        <f t="shared" si="19"/>
        <v>31-Jul-18</v>
      </c>
      <c r="B1227" t="s">
        <v>7</v>
      </c>
      <c r="C1227" t="s">
        <v>8</v>
      </c>
      <c r="D1227" t="str">
        <f>"337738108"</f>
        <v>337738108</v>
      </c>
      <c r="E1227" t="s">
        <v>1244</v>
      </c>
      <c r="F1227" t="s">
        <v>7</v>
      </c>
      <c r="G1227">
        <v>6.9000000000000006E-2</v>
      </c>
      <c r="H1227" t="s">
        <v>11</v>
      </c>
    </row>
    <row r="1228" spans="1:8" x14ac:dyDescent="0.25">
      <c r="A1228" t="str">
        <f t="shared" si="19"/>
        <v>31-Jul-18</v>
      </c>
      <c r="B1228" t="s">
        <v>7</v>
      </c>
      <c r="C1228" t="s">
        <v>8</v>
      </c>
      <c r="D1228" t="str">
        <f>"339041105"</f>
        <v>339041105</v>
      </c>
      <c r="E1228" t="s">
        <v>1245</v>
      </c>
      <c r="F1228" t="s">
        <v>7</v>
      </c>
      <c r="G1228">
        <v>4.1000000000000002E-2</v>
      </c>
      <c r="H1228" t="s">
        <v>11</v>
      </c>
    </row>
    <row r="1229" spans="1:8" x14ac:dyDescent="0.25">
      <c r="A1229" t="str">
        <f t="shared" si="19"/>
        <v>31-Jul-18</v>
      </c>
      <c r="B1229" t="s">
        <v>7</v>
      </c>
      <c r="C1229" t="s">
        <v>8</v>
      </c>
      <c r="D1229" t="str">
        <f>"Y2573F102"</f>
        <v>Y2573F102</v>
      </c>
      <c r="E1229" t="s">
        <v>1246</v>
      </c>
      <c r="F1229" t="s">
        <v>7</v>
      </c>
      <c r="G1229">
        <v>1.2999999999999999E-2</v>
      </c>
      <c r="H1229" t="s">
        <v>11</v>
      </c>
    </row>
    <row r="1230" spans="1:8" x14ac:dyDescent="0.25">
      <c r="A1230" t="str">
        <f t="shared" si="19"/>
        <v>31-Jul-18</v>
      </c>
      <c r="B1230" t="s">
        <v>7</v>
      </c>
      <c r="C1230" t="s">
        <v>8</v>
      </c>
      <c r="D1230" t="str">
        <f>"34354P105"</f>
        <v>34354P105</v>
      </c>
      <c r="E1230" t="s">
        <v>1247</v>
      </c>
      <c r="F1230" t="s">
        <v>7</v>
      </c>
      <c r="G1230">
        <v>1.4E-2</v>
      </c>
      <c r="H1230" t="s">
        <v>11</v>
      </c>
    </row>
    <row r="1231" spans="1:8" x14ac:dyDescent="0.25">
      <c r="A1231" t="str">
        <f t="shared" si="19"/>
        <v>31-Jul-18</v>
      </c>
      <c r="B1231" t="s">
        <v>7</v>
      </c>
      <c r="C1231" t="s">
        <v>8</v>
      </c>
      <c r="D1231" t="str">
        <f>"345370860"</f>
        <v>345370860</v>
      </c>
      <c r="E1231" t="s">
        <v>1248</v>
      </c>
      <c r="F1231" t="s">
        <v>7</v>
      </c>
      <c r="G1231">
        <v>4.2999999999999997E-2</v>
      </c>
      <c r="H1231" t="s">
        <v>11</v>
      </c>
    </row>
    <row r="1232" spans="1:8" x14ac:dyDescent="0.25">
      <c r="A1232" t="str">
        <f t="shared" si="19"/>
        <v>31-Jul-18</v>
      </c>
      <c r="B1232" t="s">
        <v>7</v>
      </c>
      <c r="C1232" t="s">
        <v>8</v>
      </c>
      <c r="D1232" t="str">
        <f>"34959E109"</f>
        <v>34959E109</v>
      </c>
      <c r="E1232" t="s">
        <v>1249</v>
      </c>
      <c r="F1232" t="s">
        <v>7</v>
      </c>
      <c r="G1232">
        <v>1.7999999999999999E-2</v>
      </c>
      <c r="H1232" t="s">
        <v>11</v>
      </c>
    </row>
    <row r="1233" spans="1:8" x14ac:dyDescent="0.25">
      <c r="A1233" t="str">
        <f t="shared" si="19"/>
        <v>31-Jul-18</v>
      </c>
      <c r="B1233" t="s">
        <v>7</v>
      </c>
      <c r="C1233" t="s">
        <v>8</v>
      </c>
      <c r="D1233" t="str">
        <f>"34959J108"</f>
        <v>34959J108</v>
      </c>
      <c r="E1233" t="s">
        <v>1250</v>
      </c>
      <c r="F1233" t="s">
        <v>7</v>
      </c>
      <c r="G1233">
        <v>6.3E-2</v>
      </c>
      <c r="H1233" t="s">
        <v>11</v>
      </c>
    </row>
    <row r="1234" spans="1:8" x14ac:dyDescent="0.25">
      <c r="A1234" t="str">
        <f t="shared" si="19"/>
        <v>31-Jul-18</v>
      </c>
      <c r="B1234" t="s">
        <v>7</v>
      </c>
      <c r="C1234" t="s">
        <v>8</v>
      </c>
      <c r="D1234" t="str">
        <f>"34964C106"</f>
        <v>34964C106</v>
      </c>
      <c r="E1234" t="s">
        <v>1251</v>
      </c>
      <c r="F1234" t="s">
        <v>7</v>
      </c>
      <c r="G1234">
        <v>1.7999999999999999E-2</v>
      </c>
      <c r="H1234" t="s">
        <v>11</v>
      </c>
    </row>
    <row r="1235" spans="1:8" x14ac:dyDescent="0.25">
      <c r="A1235" t="str">
        <f t="shared" si="19"/>
        <v>31-Jul-18</v>
      </c>
      <c r="B1235" t="s">
        <v>7</v>
      </c>
      <c r="C1235" t="s">
        <v>8</v>
      </c>
      <c r="D1235" t="str">
        <f>"354613101"</f>
        <v>354613101</v>
      </c>
      <c r="E1235" t="s">
        <v>1252</v>
      </c>
      <c r="F1235" t="s">
        <v>7</v>
      </c>
      <c r="G1235">
        <v>2.7E-2</v>
      </c>
      <c r="H1235" t="s">
        <v>11</v>
      </c>
    </row>
    <row r="1236" spans="1:8" x14ac:dyDescent="0.25">
      <c r="A1236" t="str">
        <f t="shared" si="19"/>
        <v>31-Jul-18</v>
      </c>
      <c r="B1236" t="s">
        <v>7</v>
      </c>
      <c r="C1236" t="s">
        <v>8</v>
      </c>
      <c r="D1236" t="str">
        <f>"36174X101"</f>
        <v>36174X101</v>
      </c>
      <c r="E1236" t="s">
        <v>1253</v>
      </c>
      <c r="F1236" t="s">
        <v>7</v>
      </c>
      <c r="G1236">
        <v>2.7E-2</v>
      </c>
      <c r="H1236" t="s">
        <v>11</v>
      </c>
    </row>
    <row r="1237" spans="1:8" x14ac:dyDescent="0.25">
      <c r="A1237" t="str">
        <f t="shared" si="19"/>
        <v>31-Jul-18</v>
      </c>
      <c r="B1237" t="s">
        <v>7</v>
      </c>
      <c r="C1237" t="s">
        <v>8</v>
      </c>
      <c r="D1237" t="str">
        <f>"364760108"</f>
        <v>364760108</v>
      </c>
      <c r="E1237" t="s">
        <v>1254</v>
      </c>
      <c r="F1237" t="s">
        <v>7</v>
      </c>
      <c r="G1237">
        <v>2.9000000000000001E-2</v>
      </c>
      <c r="H1237" t="s">
        <v>11</v>
      </c>
    </row>
    <row r="1238" spans="1:8" x14ac:dyDescent="0.25">
      <c r="A1238" t="str">
        <f t="shared" si="19"/>
        <v>31-Jul-18</v>
      </c>
      <c r="B1238" t="s">
        <v>7</v>
      </c>
      <c r="C1238" t="s">
        <v>8</v>
      </c>
      <c r="D1238" t="str">
        <f>"H2906T109"</f>
        <v>H2906T109</v>
      </c>
      <c r="E1238" t="s">
        <v>1255</v>
      </c>
      <c r="F1238" t="s">
        <v>7</v>
      </c>
      <c r="G1238">
        <v>1.7000000000000001E-2</v>
      </c>
      <c r="H1238" t="s">
        <v>11</v>
      </c>
    </row>
    <row r="1239" spans="1:8" x14ac:dyDescent="0.25">
      <c r="A1239" t="str">
        <f t="shared" si="19"/>
        <v>31-Jul-18</v>
      </c>
      <c r="B1239" t="s">
        <v>7</v>
      </c>
      <c r="C1239" t="s">
        <v>8</v>
      </c>
      <c r="D1239" t="str">
        <f>"366651107"</f>
        <v>366651107</v>
      </c>
      <c r="E1239" t="s">
        <v>1256</v>
      </c>
      <c r="F1239" t="s">
        <v>7</v>
      </c>
      <c r="G1239">
        <v>2.4E-2</v>
      </c>
      <c r="H1239" t="s">
        <v>11</v>
      </c>
    </row>
    <row r="1240" spans="1:8" x14ac:dyDescent="0.25">
      <c r="A1240" t="str">
        <f t="shared" si="19"/>
        <v>31-Jul-18</v>
      </c>
      <c r="B1240" t="s">
        <v>7</v>
      </c>
      <c r="C1240" t="s">
        <v>8</v>
      </c>
      <c r="D1240" t="str">
        <f>"369604103"</f>
        <v>369604103</v>
      </c>
      <c r="E1240" t="s">
        <v>1257</v>
      </c>
      <c r="F1240" t="s">
        <v>7</v>
      </c>
      <c r="G1240">
        <v>0.496</v>
      </c>
      <c r="H1240" t="s">
        <v>11</v>
      </c>
    </row>
    <row r="1241" spans="1:8" x14ac:dyDescent="0.25">
      <c r="A1241" t="str">
        <f t="shared" si="19"/>
        <v>31-Jul-18</v>
      </c>
      <c r="B1241" t="s">
        <v>7</v>
      </c>
      <c r="C1241" t="s">
        <v>8</v>
      </c>
      <c r="D1241" t="str">
        <f>"370334104"</f>
        <v>370334104</v>
      </c>
      <c r="E1241" t="s">
        <v>1258</v>
      </c>
      <c r="F1241" t="s">
        <v>7</v>
      </c>
      <c r="G1241">
        <v>0.112</v>
      </c>
      <c r="H1241" t="s">
        <v>11</v>
      </c>
    </row>
    <row r="1242" spans="1:8" x14ac:dyDescent="0.25">
      <c r="A1242" t="str">
        <f t="shared" si="19"/>
        <v>31-Jul-18</v>
      </c>
      <c r="B1242" t="s">
        <v>7</v>
      </c>
      <c r="C1242" t="s">
        <v>8</v>
      </c>
      <c r="D1242" t="str">
        <f>"372460105"</f>
        <v>372460105</v>
      </c>
      <c r="E1242" t="s">
        <v>1259</v>
      </c>
      <c r="F1242" t="s">
        <v>7</v>
      </c>
      <c r="G1242">
        <v>4.2999999999999997E-2</v>
      </c>
      <c r="H1242" t="s">
        <v>11</v>
      </c>
    </row>
    <row r="1243" spans="1:8" x14ac:dyDescent="0.25">
      <c r="A1243" t="str">
        <f t="shared" si="19"/>
        <v>31-Jul-18</v>
      </c>
      <c r="B1243" t="s">
        <v>7</v>
      </c>
      <c r="C1243" t="s">
        <v>8</v>
      </c>
      <c r="D1243" t="str">
        <f>"375558103"</f>
        <v>375558103</v>
      </c>
      <c r="E1243" t="s">
        <v>1260</v>
      </c>
      <c r="F1243" t="s">
        <v>7</v>
      </c>
      <c r="G1243">
        <v>0.26700000000000002</v>
      </c>
      <c r="H1243" t="s">
        <v>11</v>
      </c>
    </row>
    <row r="1244" spans="1:8" x14ac:dyDescent="0.25">
      <c r="A1244" t="str">
        <f t="shared" si="19"/>
        <v>31-Jul-18</v>
      </c>
      <c r="B1244" t="s">
        <v>7</v>
      </c>
      <c r="C1244" t="s">
        <v>8</v>
      </c>
      <c r="D1244" t="str">
        <f>"37940X102"</f>
        <v>37940X102</v>
      </c>
      <c r="E1244" t="s">
        <v>1261</v>
      </c>
      <c r="F1244" t="s">
        <v>7</v>
      </c>
      <c r="G1244">
        <v>3.9E-2</v>
      </c>
      <c r="H1244" t="s">
        <v>11</v>
      </c>
    </row>
    <row r="1245" spans="1:8" x14ac:dyDescent="0.25">
      <c r="A1245" t="str">
        <f t="shared" si="19"/>
        <v>31-Jul-18</v>
      </c>
      <c r="B1245" t="s">
        <v>7</v>
      </c>
      <c r="C1245" t="s">
        <v>8</v>
      </c>
      <c r="D1245" t="str">
        <f>"380237107"</f>
        <v>380237107</v>
      </c>
      <c r="E1245" t="s">
        <v>1262</v>
      </c>
      <c r="F1245" t="s">
        <v>7</v>
      </c>
      <c r="G1245">
        <v>1.2E-2</v>
      </c>
      <c r="H1245" t="s">
        <v>11</v>
      </c>
    </row>
    <row r="1246" spans="1:8" x14ac:dyDescent="0.25">
      <c r="A1246" t="str">
        <f t="shared" si="19"/>
        <v>31-Jul-18</v>
      </c>
      <c r="B1246" t="s">
        <v>7</v>
      </c>
      <c r="C1246" t="s">
        <v>8</v>
      </c>
      <c r="D1246" t="str">
        <f>"38141G104"</f>
        <v>38141G104</v>
      </c>
      <c r="E1246" t="s">
        <v>1263</v>
      </c>
      <c r="F1246" t="s">
        <v>7</v>
      </c>
      <c r="G1246">
        <v>0.186</v>
      </c>
      <c r="H1246" t="s">
        <v>11</v>
      </c>
    </row>
    <row r="1247" spans="1:8" x14ac:dyDescent="0.25">
      <c r="A1247" t="str">
        <f t="shared" si="19"/>
        <v>31-Jul-18</v>
      </c>
      <c r="B1247" t="s">
        <v>7</v>
      </c>
      <c r="C1247" t="s">
        <v>8</v>
      </c>
      <c r="D1247" t="str">
        <f>"382550101"</f>
        <v>382550101</v>
      </c>
      <c r="E1247" t="s">
        <v>1264</v>
      </c>
      <c r="F1247" t="s">
        <v>7</v>
      </c>
      <c r="G1247">
        <v>1.2E-2</v>
      </c>
      <c r="H1247" t="s">
        <v>11</v>
      </c>
    </row>
    <row r="1248" spans="1:8" x14ac:dyDescent="0.25">
      <c r="A1248" t="str">
        <f t="shared" si="19"/>
        <v>31-Jul-18</v>
      </c>
      <c r="B1248" t="s">
        <v>7</v>
      </c>
      <c r="C1248" t="s">
        <v>8</v>
      </c>
      <c r="D1248" t="str">
        <f>"093671105"</f>
        <v>093671105</v>
      </c>
      <c r="E1248" t="s">
        <v>1265</v>
      </c>
      <c r="F1248" t="s">
        <v>7</v>
      </c>
      <c r="G1248">
        <v>0.01</v>
      </c>
      <c r="H1248" t="s">
        <v>11</v>
      </c>
    </row>
    <row r="1249" spans="1:8" x14ac:dyDescent="0.25">
      <c r="A1249" t="str">
        <f t="shared" si="19"/>
        <v>31-Jul-18</v>
      </c>
      <c r="B1249" t="s">
        <v>7</v>
      </c>
      <c r="C1249" t="s">
        <v>8</v>
      </c>
      <c r="D1249" t="str">
        <f>"40412C101"</f>
        <v>40412C101</v>
      </c>
      <c r="E1249" t="s">
        <v>1266</v>
      </c>
      <c r="F1249" t="s">
        <v>7</v>
      </c>
      <c r="G1249">
        <v>7.9000000000000001E-2</v>
      </c>
      <c r="H1249" t="s">
        <v>11</v>
      </c>
    </row>
    <row r="1250" spans="1:8" x14ac:dyDescent="0.25">
      <c r="A1250" t="str">
        <f t="shared" si="19"/>
        <v>31-Jul-18</v>
      </c>
      <c r="B1250" t="s">
        <v>7</v>
      </c>
      <c r="C1250" t="s">
        <v>8</v>
      </c>
      <c r="D1250" t="str">
        <f>"40414L109"</f>
        <v>40414L109</v>
      </c>
      <c r="E1250" t="s">
        <v>1267</v>
      </c>
      <c r="F1250" t="s">
        <v>7</v>
      </c>
      <c r="G1250">
        <v>2.1999999999999999E-2</v>
      </c>
      <c r="H1250" t="s">
        <v>11</v>
      </c>
    </row>
    <row r="1251" spans="1:8" x14ac:dyDescent="0.25">
      <c r="A1251" t="str">
        <f t="shared" si="19"/>
        <v>31-Jul-18</v>
      </c>
      <c r="B1251" t="s">
        <v>7</v>
      </c>
      <c r="C1251" t="s">
        <v>8</v>
      </c>
      <c r="D1251" t="str">
        <f>"40416M105"</f>
        <v>40416M105</v>
      </c>
      <c r="E1251" t="s">
        <v>1268</v>
      </c>
      <c r="F1251" t="s">
        <v>7</v>
      </c>
      <c r="G1251">
        <v>1.9E-2</v>
      </c>
      <c r="H1251" t="s">
        <v>11</v>
      </c>
    </row>
    <row r="1252" spans="1:8" x14ac:dyDescent="0.25">
      <c r="A1252" t="str">
        <f t="shared" si="19"/>
        <v>31-Jul-18</v>
      </c>
      <c r="B1252" t="s">
        <v>7</v>
      </c>
      <c r="C1252" t="s">
        <v>8</v>
      </c>
      <c r="D1252" t="str">
        <f>"40434L105"</f>
        <v>40434L105</v>
      </c>
      <c r="E1252" t="s">
        <v>1269</v>
      </c>
      <c r="F1252" t="s">
        <v>7</v>
      </c>
      <c r="G1252">
        <v>0.16400000000000001</v>
      </c>
      <c r="H1252" t="s">
        <v>11</v>
      </c>
    </row>
    <row r="1253" spans="1:8" x14ac:dyDescent="0.25">
      <c r="A1253" t="str">
        <f t="shared" si="19"/>
        <v>31-Jul-18</v>
      </c>
      <c r="B1253" t="s">
        <v>7</v>
      </c>
      <c r="C1253" t="s">
        <v>8</v>
      </c>
      <c r="D1253" t="str">
        <f>"406216101"</f>
        <v>406216101</v>
      </c>
      <c r="E1253" t="s">
        <v>1270</v>
      </c>
      <c r="F1253" t="s">
        <v>7</v>
      </c>
      <c r="G1253">
        <v>0.08</v>
      </c>
      <c r="H1253" t="s">
        <v>11</v>
      </c>
    </row>
    <row r="1254" spans="1:8" x14ac:dyDescent="0.25">
      <c r="A1254" t="str">
        <f t="shared" si="19"/>
        <v>31-Jul-18</v>
      </c>
      <c r="B1254" t="s">
        <v>7</v>
      </c>
      <c r="C1254" t="s">
        <v>8</v>
      </c>
      <c r="D1254" t="str">
        <f>"410345102"</f>
        <v>410345102</v>
      </c>
      <c r="E1254" t="s">
        <v>1271</v>
      </c>
      <c r="F1254" t="s">
        <v>7</v>
      </c>
      <c r="G1254">
        <v>1.2999999999999999E-2</v>
      </c>
      <c r="H1254" t="s">
        <v>11</v>
      </c>
    </row>
    <row r="1255" spans="1:8" x14ac:dyDescent="0.25">
      <c r="A1255" t="str">
        <f t="shared" si="19"/>
        <v>31-Jul-18</v>
      </c>
      <c r="B1255" t="s">
        <v>7</v>
      </c>
      <c r="C1255" t="s">
        <v>8</v>
      </c>
      <c r="D1255" t="str">
        <f>"412822108"</f>
        <v>412822108</v>
      </c>
      <c r="E1255" t="s">
        <v>1272</v>
      </c>
      <c r="F1255" t="s">
        <v>7</v>
      </c>
      <c r="G1255">
        <v>1.4999999999999999E-2</v>
      </c>
      <c r="H1255" t="s">
        <v>11</v>
      </c>
    </row>
    <row r="1256" spans="1:8" x14ac:dyDescent="0.25">
      <c r="A1256" t="str">
        <f t="shared" si="19"/>
        <v>31-Jul-18</v>
      </c>
      <c r="B1256" t="s">
        <v>7</v>
      </c>
      <c r="C1256" t="s">
        <v>8</v>
      </c>
      <c r="D1256" t="str">
        <f>"413875105"</f>
        <v>413875105</v>
      </c>
      <c r="E1256" t="s">
        <v>1273</v>
      </c>
      <c r="F1256" t="s">
        <v>7</v>
      </c>
      <c r="G1256">
        <v>4.7E-2</v>
      </c>
      <c r="H1256" t="s">
        <v>11</v>
      </c>
    </row>
    <row r="1257" spans="1:8" x14ac:dyDescent="0.25">
      <c r="A1257" t="str">
        <f t="shared" si="19"/>
        <v>31-Jul-18</v>
      </c>
      <c r="B1257" t="s">
        <v>7</v>
      </c>
      <c r="C1257" t="s">
        <v>8</v>
      </c>
      <c r="D1257" t="str">
        <f>"416515104"</f>
        <v>416515104</v>
      </c>
      <c r="E1257" t="s">
        <v>1274</v>
      </c>
      <c r="F1257" t="s">
        <v>7</v>
      </c>
      <c r="G1257">
        <v>3.7999999999999999E-2</v>
      </c>
      <c r="H1257" t="s">
        <v>11</v>
      </c>
    </row>
    <row r="1258" spans="1:8" x14ac:dyDescent="0.25">
      <c r="A1258" t="str">
        <f t="shared" si="19"/>
        <v>31-Jul-18</v>
      </c>
      <c r="B1258" t="s">
        <v>7</v>
      </c>
      <c r="C1258" t="s">
        <v>8</v>
      </c>
      <c r="D1258" t="str">
        <f>"418056107"</f>
        <v>418056107</v>
      </c>
      <c r="E1258" t="s">
        <v>1275</v>
      </c>
      <c r="F1258" t="s">
        <v>7</v>
      </c>
      <c r="G1258">
        <v>3.5999999999999997E-2</v>
      </c>
      <c r="H1258" t="s">
        <v>11</v>
      </c>
    </row>
    <row r="1259" spans="1:8" x14ac:dyDescent="0.25">
      <c r="A1259" t="str">
        <f t="shared" si="19"/>
        <v>31-Jul-18</v>
      </c>
      <c r="B1259" t="s">
        <v>7</v>
      </c>
      <c r="C1259" t="s">
        <v>8</v>
      </c>
      <c r="D1259" t="str">
        <f>"423452101"</f>
        <v>423452101</v>
      </c>
      <c r="E1259" t="s">
        <v>1276</v>
      </c>
      <c r="F1259" t="s">
        <v>7</v>
      </c>
      <c r="G1259">
        <v>6.0000000000000001E-3</v>
      </c>
      <c r="H1259" t="s">
        <v>11</v>
      </c>
    </row>
    <row r="1260" spans="1:8" x14ac:dyDescent="0.25">
      <c r="A1260" t="str">
        <f t="shared" si="19"/>
        <v>31-Jul-18</v>
      </c>
      <c r="B1260" t="s">
        <v>7</v>
      </c>
      <c r="C1260" t="s">
        <v>8</v>
      </c>
      <c r="D1260" t="str">
        <f>"806407102"</f>
        <v>806407102</v>
      </c>
      <c r="E1260" t="s">
        <v>1277</v>
      </c>
      <c r="F1260" t="s">
        <v>7</v>
      </c>
      <c r="G1260">
        <v>5.7000000000000002E-2</v>
      </c>
      <c r="H1260" t="s">
        <v>11</v>
      </c>
    </row>
    <row r="1261" spans="1:8" x14ac:dyDescent="0.25">
      <c r="A1261" t="str">
        <f t="shared" si="19"/>
        <v>31-Jul-18</v>
      </c>
      <c r="B1261" t="s">
        <v>7</v>
      </c>
      <c r="C1261" t="s">
        <v>8</v>
      </c>
      <c r="D1261" t="str">
        <f>"427866108"</f>
        <v>427866108</v>
      </c>
      <c r="E1261" t="s">
        <v>1278</v>
      </c>
      <c r="F1261" t="s">
        <v>7</v>
      </c>
      <c r="G1261">
        <v>2.8000000000000001E-2</v>
      </c>
      <c r="H1261" t="s">
        <v>11</v>
      </c>
    </row>
    <row r="1262" spans="1:8" x14ac:dyDescent="0.25">
      <c r="A1262" t="str">
        <f t="shared" si="19"/>
        <v>31-Jul-18</v>
      </c>
      <c r="B1262" t="s">
        <v>7</v>
      </c>
      <c r="C1262" t="s">
        <v>8</v>
      </c>
      <c r="D1262" t="str">
        <f>"42809H107"</f>
        <v>42809H107</v>
      </c>
      <c r="E1262" t="s">
        <v>1279</v>
      </c>
      <c r="F1262" t="s">
        <v>7</v>
      </c>
      <c r="G1262">
        <v>8.1000000000000003E-2</v>
      </c>
      <c r="H1262" t="s">
        <v>11</v>
      </c>
    </row>
    <row r="1263" spans="1:8" x14ac:dyDescent="0.25">
      <c r="A1263" t="str">
        <f t="shared" si="19"/>
        <v>31-Jul-18</v>
      </c>
      <c r="B1263" t="s">
        <v>7</v>
      </c>
      <c r="C1263" t="s">
        <v>8</v>
      </c>
      <c r="D1263" t="str">
        <f>"42824C109"</f>
        <v>42824C109</v>
      </c>
      <c r="E1263" t="s">
        <v>1280</v>
      </c>
      <c r="F1263" t="s">
        <v>7</v>
      </c>
      <c r="G1263">
        <v>0.10299999999999999</v>
      </c>
      <c r="H1263" t="s">
        <v>11</v>
      </c>
    </row>
    <row r="1264" spans="1:8" x14ac:dyDescent="0.25">
      <c r="A1264" t="str">
        <f t="shared" si="19"/>
        <v>31-Jul-18</v>
      </c>
      <c r="B1264" t="s">
        <v>7</v>
      </c>
      <c r="C1264" t="s">
        <v>8</v>
      </c>
      <c r="D1264" t="str">
        <f>"43300A203"</f>
        <v>43300A203</v>
      </c>
      <c r="E1264" t="s">
        <v>1281</v>
      </c>
      <c r="F1264" t="s">
        <v>7</v>
      </c>
      <c r="G1264">
        <v>3.3000000000000002E-2</v>
      </c>
      <c r="H1264" t="s">
        <v>11</v>
      </c>
    </row>
    <row r="1265" spans="1:8" x14ac:dyDescent="0.25">
      <c r="A1265" t="str">
        <f t="shared" si="19"/>
        <v>31-Jul-18</v>
      </c>
      <c r="B1265" t="s">
        <v>7</v>
      </c>
      <c r="C1265" t="s">
        <v>8</v>
      </c>
      <c r="D1265" t="str">
        <f>"436106108"</f>
        <v>436106108</v>
      </c>
      <c r="E1265" t="s">
        <v>1282</v>
      </c>
      <c r="F1265" t="s">
        <v>7</v>
      </c>
      <c r="G1265">
        <v>1.4E-2</v>
      </c>
      <c r="H1265" t="s">
        <v>11</v>
      </c>
    </row>
    <row r="1266" spans="1:8" x14ac:dyDescent="0.25">
      <c r="A1266" t="str">
        <f t="shared" si="19"/>
        <v>31-Jul-18</v>
      </c>
      <c r="B1266" t="s">
        <v>7</v>
      </c>
      <c r="C1266" t="s">
        <v>8</v>
      </c>
      <c r="D1266" t="str">
        <f>"436440101"</f>
        <v>436440101</v>
      </c>
      <c r="E1266" t="s">
        <v>1283</v>
      </c>
      <c r="F1266" t="s">
        <v>7</v>
      </c>
      <c r="G1266">
        <v>2.4E-2</v>
      </c>
      <c r="H1266" t="s">
        <v>11</v>
      </c>
    </row>
    <row r="1267" spans="1:8" x14ac:dyDescent="0.25">
      <c r="A1267" t="str">
        <f t="shared" si="19"/>
        <v>31-Jul-18</v>
      </c>
      <c r="B1267" t="s">
        <v>7</v>
      </c>
      <c r="C1267" t="s">
        <v>8</v>
      </c>
      <c r="D1267" t="str">
        <f>"437076102"</f>
        <v>437076102</v>
      </c>
      <c r="E1267" t="s">
        <v>1284</v>
      </c>
      <c r="F1267" t="s">
        <v>7</v>
      </c>
      <c r="G1267">
        <v>0.60499999999999998</v>
      </c>
      <c r="H1267" t="s">
        <v>11</v>
      </c>
    </row>
    <row r="1268" spans="1:8" x14ac:dyDescent="0.25">
      <c r="A1268" t="str">
        <f t="shared" si="19"/>
        <v>31-Jul-18</v>
      </c>
      <c r="B1268" t="s">
        <v>7</v>
      </c>
      <c r="C1268" t="s">
        <v>8</v>
      </c>
      <c r="D1268" t="str">
        <f>"6434915"</f>
        <v>6434915</v>
      </c>
      <c r="E1268" t="s">
        <v>1285</v>
      </c>
      <c r="F1268" t="s">
        <v>7</v>
      </c>
      <c r="G1268">
        <v>5.0000000000000001E-3</v>
      </c>
      <c r="H1268" t="s">
        <v>11</v>
      </c>
    </row>
    <row r="1269" spans="1:8" x14ac:dyDescent="0.25">
      <c r="A1269" t="str">
        <f t="shared" si="19"/>
        <v>31-Jul-18</v>
      </c>
      <c r="B1269" t="s">
        <v>7</v>
      </c>
      <c r="C1269" t="s">
        <v>8</v>
      </c>
      <c r="D1269" t="str">
        <f>"440452100"</f>
        <v>440452100</v>
      </c>
      <c r="E1269" t="s">
        <v>1286</v>
      </c>
      <c r="F1269" t="s">
        <v>7</v>
      </c>
      <c r="G1269">
        <v>2.3E-2</v>
      </c>
      <c r="H1269" t="s">
        <v>11</v>
      </c>
    </row>
    <row r="1270" spans="1:8" x14ac:dyDescent="0.25">
      <c r="A1270" t="str">
        <f t="shared" si="19"/>
        <v>31-Jul-18</v>
      </c>
      <c r="B1270" t="s">
        <v>7</v>
      </c>
      <c r="C1270" t="s">
        <v>8</v>
      </c>
      <c r="D1270" t="str">
        <f>"44107P104"</f>
        <v>44107P104</v>
      </c>
      <c r="E1270" t="s">
        <v>1287</v>
      </c>
      <c r="F1270" t="s">
        <v>7</v>
      </c>
      <c r="G1270">
        <v>4.2999999999999997E-2</v>
      </c>
      <c r="H1270" t="s">
        <v>11</v>
      </c>
    </row>
    <row r="1271" spans="1:8" x14ac:dyDescent="0.25">
      <c r="A1271" t="str">
        <f t="shared" si="19"/>
        <v>31-Jul-18</v>
      </c>
      <c r="B1271" t="s">
        <v>7</v>
      </c>
      <c r="C1271" t="s">
        <v>8</v>
      </c>
      <c r="D1271" t="str">
        <f>"444859102"</f>
        <v>444859102</v>
      </c>
      <c r="E1271" t="s">
        <v>1288</v>
      </c>
      <c r="F1271" t="s">
        <v>7</v>
      </c>
      <c r="G1271">
        <v>0.10199999999999999</v>
      </c>
      <c r="H1271" t="s">
        <v>11</v>
      </c>
    </row>
    <row r="1272" spans="1:8" x14ac:dyDescent="0.25">
      <c r="A1272" t="str">
        <f t="shared" si="19"/>
        <v>31-Jul-18</v>
      </c>
      <c r="B1272" t="s">
        <v>7</v>
      </c>
      <c r="C1272" t="s">
        <v>8</v>
      </c>
      <c r="D1272" t="str">
        <f>"446150104"</f>
        <v>446150104</v>
      </c>
      <c r="E1272" t="s">
        <v>1289</v>
      </c>
      <c r="F1272" t="s">
        <v>7</v>
      </c>
      <c r="G1272">
        <v>3.1E-2</v>
      </c>
      <c r="H1272" t="s">
        <v>11</v>
      </c>
    </row>
    <row r="1273" spans="1:8" x14ac:dyDescent="0.25">
      <c r="A1273" t="str">
        <f t="shared" si="19"/>
        <v>31-Jul-18</v>
      </c>
      <c r="B1273" t="s">
        <v>7</v>
      </c>
      <c r="C1273" t="s">
        <v>8</v>
      </c>
      <c r="D1273" t="str">
        <f>"44919P508"</f>
        <v>44919P508</v>
      </c>
      <c r="E1273" t="s">
        <v>1290</v>
      </c>
      <c r="F1273" t="s">
        <v>7</v>
      </c>
      <c r="G1273">
        <v>8.0000000000000002E-3</v>
      </c>
      <c r="H1273" t="s">
        <v>11</v>
      </c>
    </row>
    <row r="1274" spans="1:8" x14ac:dyDescent="0.25">
      <c r="A1274" t="str">
        <f t="shared" si="19"/>
        <v>31-Jul-18</v>
      </c>
      <c r="B1274" t="s">
        <v>7</v>
      </c>
      <c r="C1274" t="s">
        <v>8</v>
      </c>
      <c r="D1274" t="str">
        <f>"45167R104"</f>
        <v>45167R104</v>
      </c>
      <c r="E1274" t="s">
        <v>1291</v>
      </c>
      <c r="F1274" t="s">
        <v>7</v>
      </c>
      <c r="G1274">
        <v>3.9E-2</v>
      </c>
      <c r="H1274" t="s">
        <v>11</v>
      </c>
    </row>
    <row r="1275" spans="1:8" x14ac:dyDescent="0.25">
      <c r="A1275" t="str">
        <f t="shared" si="19"/>
        <v>31-Jul-18</v>
      </c>
      <c r="B1275" t="s">
        <v>7</v>
      </c>
      <c r="C1275" t="s">
        <v>8</v>
      </c>
      <c r="D1275" t="str">
        <f>"45168D104"</f>
        <v>45168D104</v>
      </c>
      <c r="E1275" t="s">
        <v>1292</v>
      </c>
      <c r="F1275" t="s">
        <v>7</v>
      </c>
      <c r="G1275">
        <v>0.05</v>
      </c>
      <c r="H1275" t="s">
        <v>11</v>
      </c>
    </row>
    <row r="1276" spans="1:8" x14ac:dyDescent="0.25">
      <c r="A1276" t="str">
        <f t="shared" si="19"/>
        <v>31-Jul-18</v>
      </c>
      <c r="B1276" t="s">
        <v>7</v>
      </c>
      <c r="C1276" t="s">
        <v>8</v>
      </c>
      <c r="D1276" t="str">
        <f>"G47567105"</f>
        <v>G47567105</v>
      </c>
      <c r="E1276" t="s">
        <v>1293</v>
      </c>
      <c r="F1276" t="s">
        <v>7</v>
      </c>
      <c r="G1276">
        <v>4.5999999999999999E-2</v>
      </c>
      <c r="H1276" t="s">
        <v>11</v>
      </c>
    </row>
    <row r="1277" spans="1:8" x14ac:dyDescent="0.25">
      <c r="A1277" t="str">
        <f t="shared" si="19"/>
        <v>31-Jul-18</v>
      </c>
      <c r="B1277" t="s">
        <v>7</v>
      </c>
      <c r="C1277" t="s">
        <v>8</v>
      </c>
      <c r="D1277" t="str">
        <f>"44980X109"</f>
        <v>44980X109</v>
      </c>
      <c r="E1277" t="s">
        <v>1294</v>
      </c>
      <c r="F1277" t="s">
        <v>7</v>
      </c>
      <c r="G1277">
        <v>1.2999999999999999E-2</v>
      </c>
      <c r="H1277" t="s">
        <v>11</v>
      </c>
    </row>
    <row r="1278" spans="1:8" x14ac:dyDescent="0.25">
      <c r="A1278" t="str">
        <f t="shared" si="19"/>
        <v>31-Jul-18</v>
      </c>
      <c r="B1278" t="s">
        <v>7</v>
      </c>
      <c r="C1278" t="s">
        <v>8</v>
      </c>
      <c r="D1278" t="str">
        <f>"46266C105"</f>
        <v>46266C105</v>
      </c>
      <c r="E1278" t="s">
        <v>1295</v>
      </c>
      <c r="F1278" t="s">
        <v>7</v>
      </c>
      <c r="G1278">
        <v>4.4999999999999998E-2</v>
      </c>
      <c r="H1278" t="s">
        <v>11</v>
      </c>
    </row>
    <row r="1279" spans="1:8" x14ac:dyDescent="0.25">
      <c r="A1279" t="str">
        <f t="shared" si="19"/>
        <v>31-Jul-18</v>
      </c>
      <c r="B1279" t="s">
        <v>7</v>
      </c>
      <c r="C1279" t="s">
        <v>8</v>
      </c>
      <c r="D1279" t="str">
        <f>"452308109"</f>
        <v>452308109</v>
      </c>
      <c r="E1279" t="s">
        <v>1296</v>
      </c>
      <c r="F1279" t="s">
        <v>7</v>
      </c>
      <c r="G1279">
        <v>0.108</v>
      </c>
      <c r="H1279" t="s">
        <v>11</v>
      </c>
    </row>
    <row r="1280" spans="1:8" x14ac:dyDescent="0.25">
      <c r="A1280" t="str">
        <f t="shared" si="19"/>
        <v>31-Jul-18</v>
      </c>
      <c r="B1280" t="s">
        <v>7</v>
      </c>
      <c r="C1280" t="s">
        <v>8</v>
      </c>
      <c r="D1280" t="str">
        <f>"452327109"</f>
        <v>452327109</v>
      </c>
      <c r="E1280" t="s">
        <v>1297</v>
      </c>
      <c r="F1280" t="s">
        <v>7</v>
      </c>
      <c r="G1280">
        <v>0.109</v>
      </c>
      <c r="H1280" t="s">
        <v>11</v>
      </c>
    </row>
    <row r="1281" spans="1:8" x14ac:dyDescent="0.25">
      <c r="A1281" t="str">
        <f t="shared" si="19"/>
        <v>31-Jul-18</v>
      </c>
      <c r="B1281" t="s">
        <v>7</v>
      </c>
      <c r="C1281" t="s">
        <v>8</v>
      </c>
      <c r="D1281" t="str">
        <f>"45337C102"</f>
        <v>45337C102</v>
      </c>
      <c r="E1281" t="s">
        <v>1298</v>
      </c>
      <c r="F1281" t="s">
        <v>7</v>
      </c>
      <c r="G1281">
        <v>2.8000000000000001E-2</v>
      </c>
      <c r="H1281" t="s">
        <v>11</v>
      </c>
    </row>
    <row r="1282" spans="1:8" x14ac:dyDescent="0.25">
      <c r="A1282" t="str">
        <f t="shared" ref="A1282:A1345" si="20">"31-Jul-18"</f>
        <v>31-Jul-18</v>
      </c>
      <c r="B1282" t="s">
        <v>7</v>
      </c>
      <c r="C1282" t="s">
        <v>8</v>
      </c>
      <c r="D1282" t="str">
        <f>"G47791101"</f>
        <v>G47791101</v>
      </c>
      <c r="E1282" t="s">
        <v>1299</v>
      </c>
      <c r="F1282" t="s">
        <v>7</v>
      </c>
      <c r="G1282">
        <v>0.112</v>
      </c>
      <c r="H1282" t="s">
        <v>11</v>
      </c>
    </row>
    <row r="1283" spans="1:8" x14ac:dyDescent="0.25">
      <c r="A1283" t="str">
        <f t="shared" si="20"/>
        <v>31-Jul-18</v>
      </c>
      <c r="B1283" t="s">
        <v>7</v>
      </c>
      <c r="C1283" t="s">
        <v>8</v>
      </c>
      <c r="D1283" t="str">
        <f>"457187102"</f>
        <v>457187102</v>
      </c>
      <c r="E1283" t="s">
        <v>1300</v>
      </c>
      <c r="F1283" t="s">
        <v>7</v>
      </c>
      <c r="G1283">
        <v>1.4999999999999999E-2</v>
      </c>
      <c r="H1283" t="s">
        <v>11</v>
      </c>
    </row>
    <row r="1284" spans="1:8" x14ac:dyDescent="0.25">
      <c r="A1284" t="str">
        <f t="shared" si="20"/>
        <v>31-Jul-18</v>
      </c>
      <c r="B1284" t="s">
        <v>7</v>
      </c>
      <c r="C1284" t="s">
        <v>8</v>
      </c>
      <c r="D1284" t="str">
        <f>"458140100"</f>
        <v>458140100</v>
      </c>
      <c r="E1284" t="s">
        <v>1301</v>
      </c>
      <c r="F1284" t="s">
        <v>7</v>
      </c>
      <c r="G1284">
        <v>0.93300000000000005</v>
      </c>
      <c r="H1284" t="s">
        <v>11</v>
      </c>
    </row>
    <row r="1285" spans="1:8" x14ac:dyDescent="0.25">
      <c r="A1285" t="str">
        <f t="shared" si="20"/>
        <v>31-Jul-18</v>
      </c>
      <c r="B1285" t="s">
        <v>7</v>
      </c>
      <c r="C1285" t="s">
        <v>8</v>
      </c>
      <c r="D1285" t="str">
        <f>"45866F104"</f>
        <v>45866F104</v>
      </c>
      <c r="E1285" t="s">
        <v>1302</v>
      </c>
      <c r="F1285" t="s">
        <v>7</v>
      </c>
      <c r="G1285">
        <v>0.111</v>
      </c>
      <c r="H1285" t="s">
        <v>11</v>
      </c>
    </row>
    <row r="1286" spans="1:8" x14ac:dyDescent="0.25">
      <c r="A1286" t="str">
        <f t="shared" si="20"/>
        <v>31-Jul-18</v>
      </c>
      <c r="B1286" t="s">
        <v>7</v>
      </c>
      <c r="C1286" t="s">
        <v>8</v>
      </c>
      <c r="D1286" t="str">
        <f>"460690100"</f>
        <v>460690100</v>
      </c>
      <c r="E1286" t="s">
        <v>1303</v>
      </c>
      <c r="F1286" t="s">
        <v>7</v>
      </c>
      <c r="G1286">
        <v>1.9E-2</v>
      </c>
      <c r="H1286" t="s">
        <v>11</v>
      </c>
    </row>
    <row r="1287" spans="1:8" x14ac:dyDescent="0.25">
      <c r="A1287" t="str">
        <f t="shared" si="20"/>
        <v>31-Jul-18</v>
      </c>
      <c r="B1287" t="s">
        <v>7</v>
      </c>
      <c r="C1287" t="s">
        <v>8</v>
      </c>
      <c r="D1287" t="str">
        <f>"459200101"</f>
        <v>459200101</v>
      </c>
      <c r="E1287" t="s">
        <v>1304</v>
      </c>
      <c r="F1287" t="s">
        <v>7</v>
      </c>
      <c r="G1287">
        <v>0.54400000000000004</v>
      </c>
      <c r="H1287" t="s">
        <v>11</v>
      </c>
    </row>
    <row r="1288" spans="1:8" x14ac:dyDescent="0.25">
      <c r="A1288" t="str">
        <f t="shared" si="20"/>
        <v>31-Jul-18</v>
      </c>
      <c r="B1288" t="s">
        <v>7</v>
      </c>
      <c r="C1288" t="s">
        <v>8</v>
      </c>
      <c r="D1288" t="str">
        <f>"459506101"</f>
        <v>459506101</v>
      </c>
      <c r="E1288" t="s">
        <v>1305</v>
      </c>
      <c r="F1288" t="s">
        <v>7</v>
      </c>
      <c r="G1288">
        <v>4.7E-2</v>
      </c>
      <c r="H1288" t="s">
        <v>11</v>
      </c>
    </row>
    <row r="1289" spans="1:8" x14ac:dyDescent="0.25">
      <c r="A1289" t="str">
        <f t="shared" si="20"/>
        <v>31-Jul-18</v>
      </c>
      <c r="B1289" t="s">
        <v>7</v>
      </c>
      <c r="C1289" t="s">
        <v>8</v>
      </c>
      <c r="D1289" t="str">
        <f>"460146103"</f>
        <v>460146103</v>
      </c>
      <c r="E1289" t="s">
        <v>1306</v>
      </c>
      <c r="F1289" t="s">
        <v>7</v>
      </c>
      <c r="G1289">
        <v>4.3999999999999997E-2</v>
      </c>
      <c r="H1289" t="s">
        <v>11</v>
      </c>
    </row>
    <row r="1290" spans="1:8" x14ac:dyDescent="0.25">
      <c r="A1290" t="str">
        <f t="shared" si="20"/>
        <v>31-Jul-18</v>
      </c>
      <c r="B1290" t="s">
        <v>7</v>
      </c>
      <c r="C1290" t="s">
        <v>8</v>
      </c>
      <c r="D1290" t="str">
        <f>"461202103"</f>
        <v>461202103</v>
      </c>
      <c r="E1290" t="s">
        <v>1307</v>
      </c>
      <c r="F1290" t="s">
        <v>7</v>
      </c>
      <c r="G1290">
        <v>0.21199999999999999</v>
      </c>
      <c r="H1290" t="s">
        <v>11</v>
      </c>
    </row>
    <row r="1291" spans="1:8" x14ac:dyDescent="0.25">
      <c r="A1291" t="str">
        <f t="shared" si="20"/>
        <v>31-Jul-18</v>
      </c>
      <c r="B1291" t="s">
        <v>7</v>
      </c>
      <c r="C1291" t="s">
        <v>8</v>
      </c>
      <c r="D1291" t="str">
        <f>"46120E602"</f>
        <v>46120E602</v>
      </c>
      <c r="E1291" t="s">
        <v>1308</v>
      </c>
      <c r="F1291" t="s">
        <v>7</v>
      </c>
      <c r="G1291">
        <v>6.2E-2</v>
      </c>
      <c r="H1291" t="s">
        <v>11</v>
      </c>
    </row>
    <row r="1292" spans="1:8" x14ac:dyDescent="0.25">
      <c r="A1292" t="str">
        <f t="shared" si="20"/>
        <v>31-Jul-18</v>
      </c>
      <c r="B1292" t="s">
        <v>7</v>
      </c>
      <c r="C1292" t="s">
        <v>8</v>
      </c>
      <c r="D1292" t="str">
        <f>"G491BT108"</f>
        <v>G491BT108</v>
      </c>
      <c r="E1292" t="s">
        <v>1309</v>
      </c>
      <c r="F1292" t="s">
        <v>7</v>
      </c>
      <c r="G1292">
        <v>2.3E-2</v>
      </c>
      <c r="H1292" t="s">
        <v>11</v>
      </c>
    </row>
    <row r="1293" spans="1:8" x14ac:dyDescent="0.25">
      <c r="A1293" t="str">
        <f t="shared" si="20"/>
        <v>31-Jul-18</v>
      </c>
      <c r="B1293" t="s">
        <v>7</v>
      </c>
      <c r="C1293" t="s">
        <v>8</v>
      </c>
      <c r="D1293" t="str">
        <f>"46284V101"</f>
        <v>46284V101</v>
      </c>
      <c r="E1293" t="s">
        <v>1310</v>
      </c>
      <c r="F1293" t="s">
        <v>7</v>
      </c>
      <c r="G1293">
        <v>3.3000000000000002E-2</v>
      </c>
      <c r="H1293" t="s">
        <v>11</v>
      </c>
    </row>
    <row r="1294" spans="1:8" x14ac:dyDescent="0.25">
      <c r="A1294" t="str">
        <f t="shared" si="20"/>
        <v>31-Jul-18</v>
      </c>
      <c r="B1294" t="s">
        <v>7</v>
      </c>
      <c r="C1294" t="s">
        <v>8</v>
      </c>
      <c r="D1294" t="str">
        <f>"445658107"</f>
        <v>445658107</v>
      </c>
      <c r="E1294" t="s">
        <v>1311</v>
      </c>
      <c r="F1294" t="s">
        <v>7</v>
      </c>
      <c r="G1294">
        <v>1.0999999999999999E-2</v>
      </c>
      <c r="H1294" t="s">
        <v>11</v>
      </c>
    </row>
    <row r="1295" spans="1:8" x14ac:dyDescent="0.25">
      <c r="A1295" t="str">
        <f t="shared" si="20"/>
        <v>31-Jul-18</v>
      </c>
      <c r="B1295" t="s">
        <v>7</v>
      </c>
      <c r="C1295" t="s">
        <v>8</v>
      </c>
      <c r="D1295" t="str">
        <f>"832696405"</f>
        <v>832696405</v>
      </c>
      <c r="E1295" t="s">
        <v>1312</v>
      </c>
      <c r="F1295" t="s">
        <v>7</v>
      </c>
      <c r="G1295">
        <v>2.5000000000000001E-2</v>
      </c>
      <c r="H1295" t="s">
        <v>11</v>
      </c>
    </row>
    <row r="1296" spans="1:8" x14ac:dyDescent="0.25">
      <c r="A1296" t="str">
        <f t="shared" si="20"/>
        <v>31-Jul-18</v>
      </c>
      <c r="B1296" t="s">
        <v>7</v>
      </c>
      <c r="C1296" t="s">
        <v>8</v>
      </c>
      <c r="D1296" t="str">
        <f>"46625H100"</f>
        <v>46625H100</v>
      </c>
      <c r="E1296" t="s">
        <v>1313</v>
      </c>
      <c r="F1296" t="s">
        <v>7</v>
      </c>
      <c r="G1296">
        <v>0.82799999999999996</v>
      </c>
      <c r="H1296" t="s">
        <v>11</v>
      </c>
    </row>
    <row r="1297" spans="1:8" x14ac:dyDescent="0.25">
      <c r="A1297" t="str">
        <f t="shared" si="20"/>
        <v>31-Jul-18</v>
      </c>
      <c r="B1297" t="s">
        <v>7</v>
      </c>
      <c r="C1297" t="s">
        <v>8</v>
      </c>
      <c r="D1297" t="str">
        <f>"426281101"</f>
        <v>426281101</v>
      </c>
      <c r="E1297" t="s">
        <v>1314</v>
      </c>
      <c r="F1297" t="s">
        <v>7</v>
      </c>
      <c r="G1297">
        <v>2.7E-2</v>
      </c>
      <c r="H1297" t="s">
        <v>11</v>
      </c>
    </row>
    <row r="1298" spans="1:8" x14ac:dyDescent="0.25">
      <c r="A1298" t="str">
        <f t="shared" si="20"/>
        <v>31-Jul-18</v>
      </c>
      <c r="B1298" t="s">
        <v>7</v>
      </c>
      <c r="C1298" t="s">
        <v>8</v>
      </c>
      <c r="D1298" t="str">
        <f>"6472119"</f>
        <v>6472119</v>
      </c>
      <c r="E1298" t="s">
        <v>1315</v>
      </c>
      <c r="F1298" t="s">
        <v>7</v>
      </c>
      <c r="G1298">
        <v>2.4E-2</v>
      </c>
      <c r="H1298" t="s">
        <v>11</v>
      </c>
    </row>
    <row r="1299" spans="1:8" x14ac:dyDescent="0.25">
      <c r="A1299" t="str">
        <f t="shared" si="20"/>
        <v>31-Jul-18</v>
      </c>
      <c r="B1299" t="s">
        <v>7</v>
      </c>
      <c r="C1299" t="s">
        <v>8</v>
      </c>
      <c r="D1299" t="str">
        <f>"6472960"</f>
        <v>6472960</v>
      </c>
      <c r="E1299" t="s">
        <v>1316</v>
      </c>
      <c r="F1299" t="s">
        <v>7</v>
      </c>
      <c r="G1299">
        <v>1.7000000000000001E-2</v>
      </c>
      <c r="H1299" t="s">
        <v>11</v>
      </c>
    </row>
    <row r="1300" spans="1:8" x14ac:dyDescent="0.25">
      <c r="A1300" t="str">
        <f t="shared" si="20"/>
        <v>31-Jul-18</v>
      </c>
      <c r="B1300" t="s">
        <v>7</v>
      </c>
      <c r="C1300" t="s">
        <v>8</v>
      </c>
      <c r="D1300" t="str">
        <f>"G50871105"</f>
        <v>G50871105</v>
      </c>
      <c r="E1300" t="s">
        <v>1317</v>
      </c>
      <c r="F1300" t="s">
        <v>7</v>
      </c>
      <c r="G1300">
        <v>0.04</v>
      </c>
      <c r="H1300" t="s">
        <v>11</v>
      </c>
    </row>
    <row r="1301" spans="1:8" x14ac:dyDescent="0.25">
      <c r="A1301" t="str">
        <f t="shared" si="20"/>
        <v>31-Jul-18</v>
      </c>
      <c r="B1301" t="s">
        <v>7</v>
      </c>
      <c r="C1301" t="s">
        <v>8</v>
      </c>
      <c r="D1301" t="str">
        <f>"47233W109"</f>
        <v>47233W109</v>
      </c>
      <c r="E1301" t="s">
        <v>1318</v>
      </c>
      <c r="F1301" t="s">
        <v>7</v>
      </c>
      <c r="G1301">
        <v>0.01</v>
      </c>
      <c r="H1301" t="s">
        <v>11</v>
      </c>
    </row>
    <row r="1302" spans="1:8" x14ac:dyDescent="0.25">
      <c r="A1302" t="str">
        <f t="shared" si="20"/>
        <v>31-Jul-18</v>
      </c>
      <c r="B1302" t="s">
        <v>7</v>
      </c>
      <c r="C1302" t="s">
        <v>8</v>
      </c>
      <c r="D1302" t="str">
        <f>"G51502105"</f>
        <v>G51502105</v>
      </c>
      <c r="E1302" t="s">
        <v>1319</v>
      </c>
      <c r="F1302" t="s">
        <v>7</v>
      </c>
      <c r="G1302">
        <v>0.14899999999999999</v>
      </c>
      <c r="H1302" t="s">
        <v>11</v>
      </c>
    </row>
    <row r="1303" spans="1:8" x14ac:dyDescent="0.25">
      <c r="A1303" t="str">
        <f t="shared" si="20"/>
        <v>31-Jul-18</v>
      </c>
      <c r="B1303" t="s">
        <v>7</v>
      </c>
      <c r="C1303" t="s">
        <v>8</v>
      </c>
      <c r="D1303" t="str">
        <f>"48020Q107"</f>
        <v>48020Q107</v>
      </c>
      <c r="E1303" t="s">
        <v>1320</v>
      </c>
      <c r="F1303" t="s">
        <v>7</v>
      </c>
      <c r="G1303">
        <v>1.6E-2</v>
      </c>
      <c r="H1303" t="s">
        <v>11</v>
      </c>
    </row>
    <row r="1304" spans="1:8" x14ac:dyDescent="0.25">
      <c r="A1304" t="str">
        <f t="shared" si="20"/>
        <v>31-Jul-18</v>
      </c>
      <c r="B1304" t="s">
        <v>7</v>
      </c>
      <c r="C1304" t="s">
        <v>8</v>
      </c>
      <c r="D1304" t="str">
        <f>"48203R104"</f>
        <v>48203R104</v>
      </c>
      <c r="E1304" t="s">
        <v>1321</v>
      </c>
      <c r="F1304" t="s">
        <v>7</v>
      </c>
      <c r="G1304">
        <v>2.4E-2</v>
      </c>
      <c r="H1304" t="s">
        <v>11</v>
      </c>
    </row>
    <row r="1305" spans="1:8" x14ac:dyDescent="0.25">
      <c r="A1305" t="str">
        <f t="shared" si="20"/>
        <v>31-Jul-18</v>
      </c>
      <c r="B1305" t="s">
        <v>7</v>
      </c>
      <c r="C1305" t="s">
        <v>8</v>
      </c>
      <c r="D1305" t="str">
        <f>"482480100"</f>
        <v>482480100</v>
      </c>
      <c r="E1305" t="s">
        <v>1322</v>
      </c>
      <c r="F1305" t="s">
        <v>7</v>
      </c>
      <c r="G1305">
        <v>3.5000000000000003E-2</v>
      </c>
      <c r="H1305" t="s">
        <v>11</v>
      </c>
    </row>
    <row r="1306" spans="1:8" x14ac:dyDescent="0.25">
      <c r="A1306" t="str">
        <f t="shared" si="20"/>
        <v>31-Jul-18</v>
      </c>
      <c r="B1306" t="s">
        <v>7</v>
      </c>
      <c r="C1306" t="s">
        <v>8</v>
      </c>
      <c r="D1306" t="str">
        <f>"485170302"</f>
        <v>485170302</v>
      </c>
      <c r="E1306" t="s">
        <v>1323</v>
      </c>
      <c r="F1306" t="s">
        <v>7</v>
      </c>
      <c r="G1306">
        <v>0.02</v>
      </c>
      <c r="H1306" t="s">
        <v>11</v>
      </c>
    </row>
    <row r="1307" spans="1:8" x14ac:dyDescent="0.25">
      <c r="A1307" t="str">
        <f t="shared" si="20"/>
        <v>31-Jul-18</v>
      </c>
      <c r="B1307" t="s">
        <v>7</v>
      </c>
      <c r="C1307" t="s">
        <v>8</v>
      </c>
      <c r="D1307" t="str">
        <f>"487836108"</f>
        <v>487836108</v>
      </c>
      <c r="E1307" t="s">
        <v>1324</v>
      </c>
      <c r="F1307" t="s">
        <v>7</v>
      </c>
      <c r="G1307">
        <v>7.4999999999999997E-2</v>
      </c>
      <c r="H1307" t="s">
        <v>11</v>
      </c>
    </row>
    <row r="1308" spans="1:8" x14ac:dyDescent="0.25">
      <c r="A1308" t="str">
        <f t="shared" si="20"/>
        <v>31-Jul-18</v>
      </c>
      <c r="B1308" t="s">
        <v>7</v>
      </c>
      <c r="C1308" t="s">
        <v>8</v>
      </c>
      <c r="D1308" t="str">
        <f>"493267108"</f>
        <v>493267108</v>
      </c>
      <c r="E1308" t="s">
        <v>1325</v>
      </c>
      <c r="F1308" t="s">
        <v>7</v>
      </c>
      <c r="G1308">
        <v>4.8000000000000001E-2</v>
      </c>
      <c r="H1308" t="s">
        <v>11</v>
      </c>
    </row>
    <row r="1309" spans="1:8" x14ac:dyDescent="0.25">
      <c r="A1309" t="str">
        <f t="shared" si="20"/>
        <v>31-Jul-18</v>
      </c>
      <c r="B1309" t="s">
        <v>7</v>
      </c>
      <c r="C1309" t="s">
        <v>8</v>
      </c>
      <c r="D1309" t="str">
        <f>"49338L103"</f>
        <v>49338L103</v>
      </c>
      <c r="E1309" t="s">
        <v>1326</v>
      </c>
      <c r="F1309" t="s">
        <v>7</v>
      </c>
      <c r="G1309">
        <v>4.4999999999999998E-2</v>
      </c>
      <c r="H1309" t="s">
        <v>11</v>
      </c>
    </row>
    <row r="1310" spans="1:8" x14ac:dyDescent="0.25">
      <c r="A1310" t="str">
        <f t="shared" si="20"/>
        <v>31-Jul-18</v>
      </c>
      <c r="B1310" t="s">
        <v>7</v>
      </c>
      <c r="C1310" t="s">
        <v>8</v>
      </c>
      <c r="D1310" t="str">
        <f>"494368103"</f>
        <v>494368103</v>
      </c>
      <c r="E1310" t="s">
        <v>1327</v>
      </c>
      <c r="F1310" t="s">
        <v>7</v>
      </c>
      <c r="G1310">
        <v>6.8000000000000005E-2</v>
      </c>
      <c r="H1310" t="s">
        <v>11</v>
      </c>
    </row>
    <row r="1311" spans="1:8" x14ac:dyDescent="0.25">
      <c r="A1311" t="str">
        <f t="shared" si="20"/>
        <v>31-Jul-18</v>
      </c>
      <c r="B1311" t="s">
        <v>7</v>
      </c>
      <c r="C1311" t="s">
        <v>8</v>
      </c>
      <c r="D1311" t="str">
        <f>"49446R109"</f>
        <v>49446R109</v>
      </c>
      <c r="E1311" t="s">
        <v>1328</v>
      </c>
      <c r="F1311" t="s">
        <v>7</v>
      </c>
      <c r="G1311">
        <v>1.6E-2</v>
      </c>
      <c r="H1311" t="s">
        <v>11</v>
      </c>
    </row>
    <row r="1312" spans="1:8" x14ac:dyDescent="0.25">
      <c r="A1312" t="str">
        <f t="shared" si="20"/>
        <v>31-Jul-18</v>
      </c>
      <c r="B1312" t="s">
        <v>7</v>
      </c>
      <c r="C1312" t="s">
        <v>8</v>
      </c>
      <c r="D1312" t="str">
        <f>"49456B101"</f>
        <v>49456B101</v>
      </c>
      <c r="E1312" t="s">
        <v>1329</v>
      </c>
      <c r="F1312" t="s">
        <v>7</v>
      </c>
      <c r="G1312">
        <v>7.4999999999999997E-2</v>
      </c>
      <c r="H1312" t="s">
        <v>11</v>
      </c>
    </row>
    <row r="1313" spans="1:8" x14ac:dyDescent="0.25">
      <c r="A1313" t="str">
        <f t="shared" si="20"/>
        <v>31-Jul-18</v>
      </c>
      <c r="B1313" t="s">
        <v>7</v>
      </c>
      <c r="C1313" t="s">
        <v>8</v>
      </c>
      <c r="D1313" t="str">
        <f>"499049104"</f>
        <v>499049104</v>
      </c>
      <c r="E1313" t="s">
        <v>1330</v>
      </c>
      <c r="F1313" t="s">
        <v>7</v>
      </c>
      <c r="G1313">
        <v>4.0000000000000001E-3</v>
      </c>
      <c r="H1313" t="s">
        <v>11</v>
      </c>
    </row>
    <row r="1314" spans="1:8" x14ac:dyDescent="0.25">
      <c r="A1314" t="str">
        <f t="shared" si="20"/>
        <v>31-Jul-18</v>
      </c>
      <c r="B1314" t="s">
        <v>7</v>
      </c>
      <c r="C1314" t="s">
        <v>8</v>
      </c>
      <c r="D1314" t="str">
        <f>"500255104"</f>
        <v>500255104</v>
      </c>
      <c r="E1314" t="s">
        <v>1331</v>
      </c>
      <c r="F1314" t="s">
        <v>7</v>
      </c>
      <c r="G1314">
        <v>2.8000000000000001E-2</v>
      </c>
      <c r="H1314" t="s">
        <v>11</v>
      </c>
    </row>
    <row r="1315" spans="1:8" x14ac:dyDescent="0.25">
      <c r="A1315" t="str">
        <f t="shared" si="20"/>
        <v>31-Jul-18</v>
      </c>
      <c r="B1315" t="s">
        <v>7</v>
      </c>
      <c r="C1315" t="s">
        <v>8</v>
      </c>
      <c r="D1315" t="str">
        <f>"500754106"</f>
        <v>500754106</v>
      </c>
      <c r="E1315" t="s">
        <v>1332</v>
      </c>
      <c r="F1315" t="s">
        <v>7</v>
      </c>
      <c r="G1315">
        <v>7.8E-2</v>
      </c>
      <c r="H1315" t="s">
        <v>11</v>
      </c>
    </row>
    <row r="1316" spans="1:8" x14ac:dyDescent="0.25">
      <c r="A1316" t="str">
        <f t="shared" si="20"/>
        <v>31-Jul-18</v>
      </c>
      <c r="B1316" t="s">
        <v>7</v>
      </c>
      <c r="C1316" t="s">
        <v>8</v>
      </c>
      <c r="D1316" t="str">
        <f>"501044101"</f>
        <v>501044101</v>
      </c>
      <c r="E1316" t="s">
        <v>1333</v>
      </c>
      <c r="F1316" t="s">
        <v>7</v>
      </c>
      <c r="G1316">
        <v>5.3999999999999999E-2</v>
      </c>
      <c r="H1316" t="s">
        <v>11</v>
      </c>
    </row>
    <row r="1317" spans="1:8" x14ac:dyDescent="0.25">
      <c r="A1317" t="str">
        <f t="shared" si="20"/>
        <v>31-Jul-18</v>
      </c>
      <c r="B1317" t="s">
        <v>7</v>
      </c>
      <c r="C1317" t="s">
        <v>8</v>
      </c>
      <c r="D1317" t="str">
        <f>"501797104"</f>
        <v>501797104</v>
      </c>
      <c r="E1317" t="s">
        <v>1334</v>
      </c>
      <c r="F1317" t="s">
        <v>7</v>
      </c>
      <c r="G1317">
        <v>1.4999999999999999E-2</v>
      </c>
      <c r="H1317" t="s">
        <v>11</v>
      </c>
    </row>
    <row r="1318" spans="1:8" x14ac:dyDescent="0.25">
      <c r="A1318" t="str">
        <f t="shared" si="20"/>
        <v>31-Jul-18</v>
      </c>
      <c r="B1318" t="s">
        <v>7</v>
      </c>
      <c r="C1318" t="s">
        <v>8</v>
      </c>
      <c r="D1318" t="str">
        <f>"502413107"</f>
        <v>502413107</v>
      </c>
      <c r="E1318" t="s">
        <v>1335</v>
      </c>
      <c r="F1318" t="s">
        <v>7</v>
      </c>
      <c r="G1318">
        <v>9.5000000000000001E-2</v>
      </c>
      <c r="H1318" t="s">
        <v>11</v>
      </c>
    </row>
    <row r="1319" spans="1:8" x14ac:dyDescent="0.25">
      <c r="A1319" t="str">
        <f t="shared" si="20"/>
        <v>31-Jul-18</v>
      </c>
      <c r="B1319" t="s">
        <v>7</v>
      </c>
      <c r="C1319" t="s">
        <v>8</v>
      </c>
      <c r="D1319" t="str">
        <f>"501889208"</f>
        <v>501889208</v>
      </c>
      <c r="E1319" t="s">
        <v>1336</v>
      </c>
      <c r="F1319" t="s">
        <v>7</v>
      </c>
      <c r="G1319">
        <v>2.7E-2</v>
      </c>
      <c r="H1319" t="s">
        <v>11</v>
      </c>
    </row>
    <row r="1320" spans="1:8" x14ac:dyDescent="0.25">
      <c r="A1320" t="str">
        <f t="shared" si="20"/>
        <v>31-Jul-18</v>
      </c>
      <c r="B1320" t="s">
        <v>7</v>
      </c>
      <c r="C1320" t="s">
        <v>8</v>
      </c>
      <c r="D1320" t="str">
        <f>"50540R409"</f>
        <v>50540R409</v>
      </c>
      <c r="E1320" t="s">
        <v>1337</v>
      </c>
      <c r="F1320" t="s">
        <v>7</v>
      </c>
      <c r="G1320">
        <v>3.7999999999999999E-2</v>
      </c>
      <c r="H1320" t="s">
        <v>11</v>
      </c>
    </row>
    <row r="1321" spans="1:8" x14ac:dyDescent="0.25">
      <c r="A1321" t="str">
        <f t="shared" si="20"/>
        <v>31-Jul-18</v>
      </c>
      <c r="B1321" t="s">
        <v>7</v>
      </c>
      <c r="C1321" t="s">
        <v>8</v>
      </c>
      <c r="D1321" t="str">
        <f>"512807108"</f>
        <v>512807108</v>
      </c>
      <c r="E1321" t="s">
        <v>1338</v>
      </c>
      <c r="F1321" t="s">
        <v>7</v>
      </c>
      <c r="G1321">
        <v>6.2E-2</v>
      </c>
      <c r="H1321" t="s">
        <v>11</v>
      </c>
    </row>
    <row r="1322" spans="1:8" x14ac:dyDescent="0.25">
      <c r="A1322" t="str">
        <f t="shared" si="20"/>
        <v>31-Jul-18</v>
      </c>
      <c r="B1322" t="s">
        <v>7</v>
      </c>
      <c r="C1322" t="s">
        <v>8</v>
      </c>
      <c r="D1322" t="str">
        <f>"517834107"</f>
        <v>517834107</v>
      </c>
      <c r="E1322" t="s">
        <v>1339</v>
      </c>
      <c r="F1322" t="s">
        <v>7</v>
      </c>
      <c r="G1322">
        <v>6.3E-2</v>
      </c>
      <c r="H1322" t="s">
        <v>11</v>
      </c>
    </row>
    <row r="1323" spans="1:8" x14ac:dyDescent="0.25">
      <c r="A1323" t="str">
        <f t="shared" si="20"/>
        <v>31-Jul-18</v>
      </c>
      <c r="B1323" t="s">
        <v>7</v>
      </c>
      <c r="C1323" t="s">
        <v>8</v>
      </c>
      <c r="D1323" t="str">
        <f>"521865204"</f>
        <v>521865204</v>
      </c>
      <c r="E1323" t="s">
        <v>1340</v>
      </c>
      <c r="F1323" t="s">
        <v>7</v>
      </c>
      <c r="G1323">
        <v>0.01</v>
      </c>
      <c r="H1323" t="s">
        <v>11</v>
      </c>
    </row>
    <row r="1324" spans="1:8" x14ac:dyDescent="0.25">
      <c r="A1324" t="str">
        <f t="shared" si="20"/>
        <v>31-Jul-18</v>
      </c>
      <c r="B1324" t="s">
        <v>7</v>
      </c>
      <c r="C1324" t="s">
        <v>8</v>
      </c>
      <c r="D1324" t="str">
        <f>"524660107"</f>
        <v>524660107</v>
      </c>
      <c r="E1324" t="s">
        <v>1341</v>
      </c>
      <c r="F1324" t="s">
        <v>7</v>
      </c>
      <c r="G1324">
        <v>1.0999999999999999E-2</v>
      </c>
      <c r="H1324" t="s">
        <v>11</v>
      </c>
    </row>
    <row r="1325" spans="1:8" x14ac:dyDescent="0.25">
      <c r="A1325" t="str">
        <f t="shared" si="20"/>
        <v>31-Jul-18</v>
      </c>
      <c r="B1325" t="s">
        <v>7</v>
      </c>
      <c r="C1325" t="s">
        <v>8</v>
      </c>
      <c r="D1325" t="str">
        <f>"525327102"</f>
        <v>525327102</v>
      </c>
      <c r="E1325" t="s">
        <v>1342</v>
      </c>
      <c r="F1325" t="s">
        <v>7</v>
      </c>
      <c r="G1325">
        <v>2.3E-2</v>
      </c>
      <c r="H1325" t="s">
        <v>11</v>
      </c>
    </row>
    <row r="1326" spans="1:8" x14ac:dyDescent="0.25">
      <c r="A1326" t="str">
        <f t="shared" si="20"/>
        <v>31-Jul-18</v>
      </c>
      <c r="B1326" t="s">
        <v>7</v>
      </c>
      <c r="C1326" t="s">
        <v>8</v>
      </c>
      <c r="D1326" t="str">
        <f>"526057104"</f>
        <v>526057104</v>
      </c>
      <c r="E1326" t="s">
        <v>1343</v>
      </c>
      <c r="F1326" t="s">
        <v>7</v>
      </c>
      <c r="G1326">
        <v>2.1999999999999999E-2</v>
      </c>
      <c r="H1326" t="s">
        <v>11</v>
      </c>
    </row>
    <row r="1327" spans="1:8" x14ac:dyDescent="0.25">
      <c r="A1327" t="str">
        <f t="shared" si="20"/>
        <v>31-Jul-18</v>
      </c>
      <c r="B1327" t="s">
        <v>7</v>
      </c>
      <c r="C1327" t="s">
        <v>8</v>
      </c>
      <c r="D1327" t="str">
        <f>"526107107"</f>
        <v>526107107</v>
      </c>
      <c r="E1327" t="s">
        <v>1344</v>
      </c>
      <c r="F1327" t="s">
        <v>7</v>
      </c>
      <c r="G1327">
        <v>1.7999999999999999E-2</v>
      </c>
      <c r="H1327" t="s">
        <v>11</v>
      </c>
    </row>
    <row r="1328" spans="1:8" x14ac:dyDescent="0.25">
      <c r="A1328" t="str">
        <f t="shared" si="20"/>
        <v>31-Jul-18</v>
      </c>
      <c r="B1328" t="s">
        <v>7</v>
      </c>
      <c r="C1328" t="s">
        <v>8</v>
      </c>
      <c r="D1328" t="str">
        <f>"530307305"</f>
        <v>530307305</v>
      </c>
      <c r="E1328" t="s">
        <v>1345</v>
      </c>
      <c r="F1328" t="s">
        <v>7</v>
      </c>
      <c r="G1328">
        <v>1.7000000000000001E-2</v>
      </c>
      <c r="H1328" t="s">
        <v>11</v>
      </c>
    </row>
    <row r="1329" spans="1:8" x14ac:dyDescent="0.25">
      <c r="A1329" t="str">
        <f t="shared" si="20"/>
        <v>31-Jul-18</v>
      </c>
      <c r="B1329" t="s">
        <v>7</v>
      </c>
      <c r="C1329" t="s">
        <v>8</v>
      </c>
      <c r="D1329" t="str">
        <f>"G5480U104"</f>
        <v>G5480U104</v>
      </c>
      <c r="E1329" t="s">
        <v>1346</v>
      </c>
      <c r="F1329" t="s">
        <v>7</v>
      </c>
      <c r="G1329">
        <v>0</v>
      </c>
      <c r="H1329" t="s">
        <v>11</v>
      </c>
    </row>
    <row r="1330" spans="1:8" x14ac:dyDescent="0.25">
      <c r="A1330" t="str">
        <f t="shared" si="20"/>
        <v>31-Jul-18</v>
      </c>
      <c r="B1330" t="s">
        <v>7</v>
      </c>
      <c r="C1330" t="s">
        <v>8</v>
      </c>
      <c r="D1330" t="str">
        <f>"G5480U120"</f>
        <v>G5480U120</v>
      </c>
      <c r="E1330" t="s">
        <v>1346</v>
      </c>
      <c r="F1330" t="s">
        <v>7</v>
      </c>
      <c r="G1330">
        <v>4.4999999999999998E-2</v>
      </c>
      <c r="H1330" t="s">
        <v>11</v>
      </c>
    </row>
    <row r="1331" spans="1:8" x14ac:dyDescent="0.25">
      <c r="A1331" t="str">
        <f t="shared" si="20"/>
        <v>31-Jul-18</v>
      </c>
      <c r="B1331" t="s">
        <v>7</v>
      </c>
      <c r="C1331" t="s">
        <v>8</v>
      </c>
      <c r="D1331" t="str">
        <f>"531229854"</f>
        <v>531229854</v>
      </c>
      <c r="E1331" t="s">
        <v>1347</v>
      </c>
      <c r="F1331" t="s">
        <v>7</v>
      </c>
      <c r="G1331">
        <v>8.0000000000000002E-3</v>
      </c>
      <c r="H1331" t="s">
        <v>11</v>
      </c>
    </row>
    <row r="1332" spans="1:8" x14ac:dyDescent="0.25">
      <c r="A1332" t="str">
        <f t="shared" si="20"/>
        <v>31-Jul-18</v>
      </c>
      <c r="B1332" t="s">
        <v>7</v>
      </c>
      <c r="C1332" t="s">
        <v>8</v>
      </c>
      <c r="D1332" t="str">
        <f>"531229409"</f>
        <v>531229409</v>
      </c>
      <c r="E1332" t="s">
        <v>1348</v>
      </c>
      <c r="F1332" t="s">
        <v>7</v>
      </c>
      <c r="G1332">
        <v>1.4999999999999999E-2</v>
      </c>
      <c r="H1332" t="s">
        <v>11</v>
      </c>
    </row>
    <row r="1333" spans="1:8" x14ac:dyDescent="0.25">
      <c r="A1333" t="str">
        <f t="shared" si="20"/>
        <v>31-Jul-18</v>
      </c>
      <c r="B1333" t="s">
        <v>7</v>
      </c>
      <c r="C1333" t="s">
        <v>8</v>
      </c>
      <c r="D1333" t="str">
        <f>"531229607"</f>
        <v>531229607</v>
      </c>
      <c r="E1333" t="s">
        <v>1348</v>
      </c>
      <c r="F1333" t="s">
        <v>7</v>
      </c>
      <c r="G1333">
        <v>1E-3</v>
      </c>
      <c r="H1333" t="s">
        <v>11</v>
      </c>
    </row>
    <row r="1334" spans="1:8" x14ac:dyDescent="0.25">
      <c r="A1334" t="str">
        <f t="shared" si="20"/>
        <v>31-Jul-18</v>
      </c>
      <c r="B1334" t="s">
        <v>7</v>
      </c>
      <c r="C1334" t="s">
        <v>8</v>
      </c>
      <c r="D1334" t="str">
        <f>"531172104"</f>
        <v>531172104</v>
      </c>
      <c r="E1334" t="s">
        <v>1349</v>
      </c>
      <c r="F1334" t="s">
        <v>7</v>
      </c>
      <c r="G1334">
        <v>2.8000000000000001E-2</v>
      </c>
      <c r="H1334" t="s">
        <v>11</v>
      </c>
    </row>
    <row r="1335" spans="1:8" x14ac:dyDescent="0.25">
      <c r="A1335" t="str">
        <f t="shared" si="20"/>
        <v>31-Jul-18</v>
      </c>
      <c r="B1335" t="s">
        <v>7</v>
      </c>
      <c r="C1335" t="s">
        <v>8</v>
      </c>
      <c r="D1335" t="str">
        <f>"534187109"</f>
        <v>534187109</v>
      </c>
      <c r="E1335" t="s">
        <v>1350</v>
      </c>
      <c r="F1335" t="s">
        <v>7</v>
      </c>
      <c r="G1335">
        <v>0.04</v>
      </c>
      <c r="H1335" t="s">
        <v>11</v>
      </c>
    </row>
    <row r="1336" spans="1:8" x14ac:dyDescent="0.25">
      <c r="A1336" t="str">
        <f t="shared" si="20"/>
        <v>31-Jul-18</v>
      </c>
      <c r="B1336" t="s">
        <v>7</v>
      </c>
      <c r="C1336" t="s">
        <v>8</v>
      </c>
      <c r="D1336" t="str">
        <f>"538034109"</f>
        <v>538034109</v>
      </c>
      <c r="E1336" t="s">
        <v>1351</v>
      </c>
      <c r="F1336" t="s">
        <v>7</v>
      </c>
      <c r="G1336">
        <v>8.9999999999999993E-3</v>
      </c>
      <c r="H1336" t="s">
        <v>11</v>
      </c>
    </row>
    <row r="1337" spans="1:8" x14ac:dyDescent="0.25">
      <c r="A1337" t="str">
        <f t="shared" si="20"/>
        <v>31-Jul-18</v>
      </c>
      <c r="B1337" t="s">
        <v>7</v>
      </c>
      <c r="C1337" t="s">
        <v>8</v>
      </c>
      <c r="D1337" t="str">
        <f>"540424108"</f>
        <v>540424108</v>
      </c>
      <c r="E1337" t="s">
        <v>1352</v>
      </c>
      <c r="F1337" t="s">
        <v>7</v>
      </c>
      <c r="G1337">
        <v>3.2000000000000001E-2</v>
      </c>
      <c r="H1337" t="s">
        <v>11</v>
      </c>
    </row>
    <row r="1338" spans="1:8" x14ac:dyDescent="0.25">
      <c r="A1338" t="str">
        <f t="shared" si="20"/>
        <v>31-Jul-18</v>
      </c>
      <c r="B1338" t="s">
        <v>7</v>
      </c>
      <c r="C1338" t="s">
        <v>8</v>
      </c>
      <c r="D1338" t="str">
        <f>"548661107"</f>
        <v>548661107</v>
      </c>
      <c r="E1338" t="s">
        <v>1353</v>
      </c>
      <c r="F1338" t="s">
        <v>7</v>
      </c>
      <c r="G1338">
        <v>0.17399999999999999</v>
      </c>
      <c r="H1338" t="s">
        <v>11</v>
      </c>
    </row>
    <row r="1339" spans="1:8" x14ac:dyDescent="0.25">
      <c r="A1339" t="str">
        <f t="shared" si="20"/>
        <v>31-Jul-18</v>
      </c>
      <c r="B1339" t="s">
        <v>7</v>
      </c>
      <c r="C1339" t="s">
        <v>8</v>
      </c>
      <c r="D1339" t="str">
        <f>"550021109"</f>
        <v>550021109</v>
      </c>
      <c r="E1339" t="s">
        <v>1354</v>
      </c>
      <c r="F1339" t="s">
        <v>7</v>
      </c>
      <c r="G1339">
        <v>2.4E-2</v>
      </c>
      <c r="H1339" t="s">
        <v>11</v>
      </c>
    </row>
    <row r="1340" spans="1:8" x14ac:dyDescent="0.25">
      <c r="A1340" t="str">
        <f t="shared" si="20"/>
        <v>31-Jul-18</v>
      </c>
      <c r="B1340" t="s">
        <v>7</v>
      </c>
      <c r="C1340" t="s">
        <v>8</v>
      </c>
      <c r="D1340" t="str">
        <f>"N53745100"</f>
        <v>N53745100</v>
      </c>
      <c r="E1340" t="s">
        <v>1355</v>
      </c>
      <c r="F1340" t="s">
        <v>7</v>
      </c>
      <c r="G1340">
        <v>8.6999999999999994E-2</v>
      </c>
      <c r="H1340" t="s">
        <v>11</v>
      </c>
    </row>
    <row r="1341" spans="1:8" x14ac:dyDescent="0.25">
      <c r="A1341" t="str">
        <f t="shared" si="20"/>
        <v>31-Jul-18</v>
      </c>
      <c r="B1341" t="s">
        <v>7</v>
      </c>
      <c r="C1341" t="s">
        <v>8</v>
      </c>
      <c r="D1341" t="str">
        <f>"55261F104"</f>
        <v>55261F104</v>
      </c>
      <c r="E1341" t="s">
        <v>1356</v>
      </c>
      <c r="F1341" t="s">
        <v>7</v>
      </c>
      <c r="G1341">
        <v>5.1999999999999998E-2</v>
      </c>
      <c r="H1341" t="s">
        <v>11</v>
      </c>
    </row>
    <row r="1342" spans="1:8" x14ac:dyDescent="0.25">
      <c r="A1342" t="str">
        <f t="shared" si="20"/>
        <v>31-Jul-18</v>
      </c>
      <c r="B1342" t="s">
        <v>7</v>
      </c>
      <c r="C1342" t="s">
        <v>8</v>
      </c>
      <c r="D1342" t="str">
        <f>"552953101"</f>
        <v>552953101</v>
      </c>
      <c r="E1342" t="s">
        <v>1357</v>
      </c>
      <c r="F1342" t="s">
        <v>7</v>
      </c>
      <c r="G1342">
        <v>3.1E-2</v>
      </c>
      <c r="H1342" t="s">
        <v>11</v>
      </c>
    </row>
    <row r="1343" spans="1:8" x14ac:dyDescent="0.25">
      <c r="A1343" t="str">
        <f t="shared" si="20"/>
        <v>31-Jul-18</v>
      </c>
      <c r="B1343" t="s">
        <v>7</v>
      </c>
      <c r="C1343" t="s">
        <v>8</v>
      </c>
      <c r="D1343" t="str">
        <f>"554382101"</f>
        <v>554382101</v>
      </c>
      <c r="E1343" t="s">
        <v>1358</v>
      </c>
      <c r="F1343" t="s">
        <v>7</v>
      </c>
      <c r="G1343">
        <v>0.02</v>
      </c>
      <c r="H1343" t="s">
        <v>11</v>
      </c>
    </row>
    <row r="1344" spans="1:8" x14ac:dyDescent="0.25">
      <c r="A1344" t="str">
        <f t="shared" si="20"/>
        <v>31-Jul-18</v>
      </c>
      <c r="B1344" t="s">
        <v>7</v>
      </c>
      <c r="C1344" t="s">
        <v>8</v>
      </c>
      <c r="D1344" t="str">
        <f>"55616P104"</f>
        <v>55616P104</v>
      </c>
      <c r="E1344" t="s">
        <v>1359</v>
      </c>
      <c r="F1344" t="s">
        <v>7</v>
      </c>
      <c r="G1344">
        <v>2.3E-2</v>
      </c>
      <c r="H1344" t="s">
        <v>11</v>
      </c>
    </row>
    <row r="1345" spans="1:8" x14ac:dyDescent="0.25">
      <c r="A1345" t="str">
        <f t="shared" si="20"/>
        <v>31-Jul-18</v>
      </c>
      <c r="B1345" t="s">
        <v>7</v>
      </c>
      <c r="C1345" t="s">
        <v>8</v>
      </c>
      <c r="D1345" t="str">
        <f>"56418H100"</f>
        <v>56418H100</v>
      </c>
      <c r="E1345" t="s">
        <v>1360</v>
      </c>
      <c r="F1345" t="s">
        <v>7</v>
      </c>
      <c r="G1345">
        <v>2.5000000000000001E-2</v>
      </c>
      <c r="H1345" t="s">
        <v>11</v>
      </c>
    </row>
    <row r="1346" spans="1:8" x14ac:dyDescent="0.25">
      <c r="A1346" t="str">
        <f t="shared" ref="A1346:A1409" si="21">"31-Jul-18"</f>
        <v>31-Jul-18</v>
      </c>
      <c r="B1346" t="s">
        <v>7</v>
      </c>
      <c r="C1346" t="s">
        <v>8</v>
      </c>
      <c r="D1346" t="str">
        <f>"565849106"</f>
        <v>565849106</v>
      </c>
      <c r="E1346" t="s">
        <v>1361</v>
      </c>
      <c r="F1346" t="s">
        <v>7</v>
      </c>
      <c r="G1346">
        <v>0.03</v>
      </c>
      <c r="H1346" t="s">
        <v>11</v>
      </c>
    </row>
    <row r="1347" spans="1:8" x14ac:dyDescent="0.25">
      <c r="A1347" t="str">
        <f t="shared" si="21"/>
        <v>31-Jul-18</v>
      </c>
      <c r="B1347" t="s">
        <v>7</v>
      </c>
      <c r="C1347" t="s">
        <v>8</v>
      </c>
      <c r="D1347" t="str">
        <f>"56585A102"</f>
        <v>56585A102</v>
      </c>
      <c r="E1347" t="s">
        <v>1362</v>
      </c>
      <c r="F1347" t="s">
        <v>7</v>
      </c>
      <c r="G1347">
        <v>8.5000000000000006E-2</v>
      </c>
      <c r="H1347" t="s">
        <v>11</v>
      </c>
    </row>
    <row r="1348" spans="1:8" x14ac:dyDescent="0.25">
      <c r="A1348" t="str">
        <f t="shared" si="21"/>
        <v>31-Jul-18</v>
      </c>
      <c r="B1348" t="s">
        <v>7</v>
      </c>
      <c r="C1348" t="s">
        <v>8</v>
      </c>
      <c r="D1348" t="str">
        <f>"570535104"</f>
        <v>570535104</v>
      </c>
      <c r="E1348" t="s">
        <v>1363</v>
      </c>
      <c r="F1348" t="s">
        <v>7</v>
      </c>
      <c r="G1348">
        <v>2.1000000000000001E-2</v>
      </c>
      <c r="H1348" t="s">
        <v>11</v>
      </c>
    </row>
    <row r="1349" spans="1:8" x14ac:dyDescent="0.25">
      <c r="A1349" t="str">
        <f t="shared" si="21"/>
        <v>31-Jul-18</v>
      </c>
      <c r="B1349" t="s">
        <v>7</v>
      </c>
      <c r="C1349" t="s">
        <v>8</v>
      </c>
      <c r="D1349" t="str">
        <f>"571903202"</f>
        <v>571903202</v>
      </c>
      <c r="E1349" t="s">
        <v>1364</v>
      </c>
      <c r="F1349" t="s">
        <v>7</v>
      </c>
      <c r="G1349">
        <v>8.8999999999999996E-2</v>
      </c>
      <c r="H1349" t="s">
        <v>11</v>
      </c>
    </row>
    <row r="1350" spans="1:8" x14ac:dyDescent="0.25">
      <c r="A1350" t="str">
        <f t="shared" si="21"/>
        <v>31-Jul-18</v>
      </c>
      <c r="B1350" t="s">
        <v>7</v>
      </c>
      <c r="C1350" t="s">
        <v>8</v>
      </c>
      <c r="D1350" t="str">
        <f>"571748102"</f>
        <v>571748102</v>
      </c>
      <c r="E1350" t="s">
        <v>1365</v>
      </c>
      <c r="F1350" t="s">
        <v>7</v>
      </c>
      <c r="G1350">
        <v>9.6000000000000002E-2</v>
      </c>
      <c r="H1350" t="s">
        <v>11</v>
      </c>
    </row>
    <row r="1351" spans="1:8" x14ac:dyDescent="0.25">
      <c r="A1351" t="str">
        <f t="shared" si="21"/>
        <v>31-Jul-18</v>
      </c>
      <c r="B1351" t="s">
        <v>7</v>
      </c>
      <c r="C1351" t="s">
        <v>8</v>
      </c>
      <c r="D1351" t="str">
        <f>"573284106"</f>
        <v>573284106</v>
      </c>
      <c r="E1351" t="s">
        <v>1366</v>
      </c>
      <c r="F1351" t="s">
        <v>7</v>
      </c>
      <c r="G1351">
        <v>2.4E-2</v>
      </c>
      <c r="H1351" t="s">
        <v>11</v>
      </c>
    </row>
    <row r="1352" spans="1:8" x14ac:dyDescent="0.25">
      <c r="A1352" t="str">
        <f t="shared" si="21"/>
        <v>31-Jul-18</v>
      </c>
      <c r="B1352" t="s">
        <v>7</v>
      </c>
      <c r="C1352" t="s">
        <v>8</v>
      </c>
      <c r="D1352" t="str">
        <f>"G5876H105"</f>
        <v>G5876H105</v>
      </c>
      <c r="E1352" t="s">
        <v>1367</v>
      </c>
      <c r="F1352" t="s">
        <v>7</v>
      </c>
      <c r="G1352">
        <v>1.7000000000000001E-2</v>
      </c>
      <c r="H1352" t="s">
        <v>11</v>
      </c>
    </row>
    <row r="1353" spans="1:8" x14ac:dyDescent="0.25">
      <c r="A1353" t="str">
        <f t="shared" si="21"/>
        <v>31-Jul-18</v>
      </c>
      <c r="B1353" t="s">
        <v>7</v>
      </c>
      <c r="C1353" t="s">
        <v>8</v>
      </c>
      <c r="D1353" t="str">
        <f>"574599106"</f>
        <v>574599106</v>
      </c>
      <c r="E1353" t="s">
        <v>1368</v>
      </c>
      <c r="F1353" t="s">
        <v>7</v>
      </c>
      <c r="G1353">
        <v>3.1E-2</v>
      </c>
      <c r="H1353" t="s">
        <v>11</v>
      </c>
    </row>
    <row r="1354" spans="1:8" x14ac:dyDescent="0.25">
      <c r="A1354" t="str">
        <f t="shared" si="21"/>
        <v>31-Jul-18</v>
      </c>
      <c r="B1354" t="s">
        <v>7</v>
      </c>
      <c r="C1354" t="s">
        <v>8</v>
      </c>
      <c r="D1354" t="str">
        <f>"57636Q104"</f>
        <v>57636Q104</v>
      </c>
      <c r="E1354" t="s">
        <v>1369</v>
      </c>
      <c r="F1354" t="s">
        <v>7</v>
      </c>
      <c r="G1354">
        <v>0.39800000000000002</v>
      </c>
      <c r="H1354" t="s">
        <v>11</v>
      </c>
    </row>
    <row r="1355" spans="1:8" x14ac:dyDescent="0.25">
      <c r="A1355" t="str">
        <f t="shared" si="21"/>
        <v>31-Jul-18</v>
      </c>
      <c r="B1355" t="s">
        <v>7</v>
      </c>
      <c r="C1355" t="s">
        <v>8</v>
      </c>
      <c r="D1355" t="str">
        <f>"577081102"</f>
        <v>577081102</v>
      </c>
      <c r="E1355" t="s">
        <v>1370</v>
      </c>
      <c r="F1355" t="s">
        <v>7</v>
      </c>
      <c r="G1355">
        <v>2.1999999999999999E-2</v>
      </c>
      <c r="H1355" t="s">
        <v>11</v>
      </c>
    </row>
    <row r="1356" spans="1:8" x14ac:dyDescent="0.25">
      <c r="A1356" t="str">
        <f t="shared" si="21"/>
        <v>31-Jul-18</v>
      </c>
      <c r="B1356" t="s">
        <v>7</v>
      </c>
      <c r="C1356" t="s">
        <v>8</v>
      </c>
      <c r="D1356" t="str">
        <f>"57772K101"</f>
        <v>57772K101</v>
      </c>
      <c r="E1356" t="s">
        <v>1371</v>
      </c>
      <c r="F1356" t="s">
        <v>7</v>
      </c>
      <c r="G1356">
        <v>0.04</v>
      </c>
      <c r="H1356" t="s">
        <v>11</v>
      </c>
    </row>
    <row r="1357" spans="1:8" x14ac:dyDescent="0.25">
      <c r="A1357" t="str">
        <f t="shared" si="21"/>
        <v>31-Jul-18</v>
      </c>
      <c r="B1357" t="s">
        <v>7</v>
      </c>
      <c r="C1357" t="s">
        <v>8</v>
      </c>
      <c r="D1357" t="str">
        <f>"579780206"</f>
        <v>579780206</v>
      </c>
      <c r="E1357" t="s">
        <v>1372</v>
      </c>
      <c r="F1357" t="s">
        <v>7</v>
      </c>
      <c r="G1357">
        <v>4.5999999999999999E-2</v>
      </c>
      <c r="H1357" t="s">
        <v>11</v>
      </c>
    </row>
    <row r="1358" spans="1:8" x14ac:dyDescent="0.25">
      <c r="A1358" t="str">
        <f t="shared" si="21"/>
        <v>31-Jul-18</v>
      </c>
      <c r="B1358" t="s">
        <v>7</v>
      </c>
      <c r="C1358" t="s">
        <v>8</v>
      </c>
      <c r="D1358" t="str">
        <f>"580135101"</f>
        <v>580135101</v>
      </c>
      <c r="E1358" t="s">
        <v>1373</v>
      </c>
      <c r="F1358" t="s">
        <v>7</v>
      </c>
      <c r="G1358">
        <v>0.26400000000000001</v>
      </c>
      <c r="H1358" t="s">
        <v>11</v>
      </c>
    </row>
    <row r="1359" spans="1:8" x14ac:dyDescent="0.25">
      <c r="A1359" t="str">
        <f t="shared" si="21"/>
        <v>31-Jul-18</v>
      </c>
      <c r="B1359" t="s">
        <v>7</v>
      </c>
      <c r="C1359" t="s">
        <v>8</v>
      </c>
      <c r="D1359" t="str">
        <f>"58155Q103"</f>
        <v>58155Q103</v>
      </c>
      <c r="E1359" t="s">
        <v>1374</v>
      </c>
      <c r="F1359" t="s">
        <v>7</v>
      </c>
      <c r="G1359">
        <v>3.1E-2</v>
      </c>
      <c r="H1359" t="s">
        <v>11</v>
      </c>
    </row>
    <row r="1360" spans="1:8" x14ac:dyDescent="0.25">
      <c r="A1360" t="str">
        <f t="shared" si="21"/>
        <v>31-Jul-18</v>
      </c>
      <c r="B1360" t="s">
        <v>7</v>
      </c>
      <c r="C1360" t="s">
        <v>8</v>
      </c>
      <c r="D1360" t="str">
        <f>"G5960L103"</f>
        <v>G5960L103</v>
      </c>
      <c r="E1360" t="s">
        <v>1375</v>
      </c>
      <c r="F1360" t="s">
        <v>7</v>
      </c>
      <c r="G1360">
        <v>0.313</v>
      </c>
      <c r="H1360" t="s">
        <v>11</v>
      </c>
    </row>
    <row r="1361" spans="1:8" x14ac:dyDescent="0.25">
      <c r="A1361" t="str">
        <f t="shared" si="21"/>
        <v>31-Jul-18</v>
      </c>
      <c r="B1361" t="s">
        <v>7</v>
      </c>
      <c r="C1361" t="s">
        <v>8</v>
      </c>
      <c r="D1361" t="str">
        <f>"585464100"</f>
        <v>585464100</v>
      </c>
      <c r="E1361" t="s">
        <v>1376</v>
      </c>
      <c r="F1361" t="s">
        <v>7</v>
      </c>
      <c r="G1361">
        <v>1.2E-2</v>
      </c>
      <c r="H1361" t="s">
        <v>11</v>
      </c>
    </row>
    <row r="1362" spans="1:8" x14ac:dyDescent="0.25">
      <c r="A1362" t="str">
        <f t="shared" si="21"/>
        <v>31-Jul-18</v>
      </c>
      <c r="B1362" t="s">
        <v>7</v>
      </c>
      <c r="C1362" t="s">
        <v>8</v>
      </c>
      <c r="D1362" t="str">
        <f>"58733R102"</f>
        <v>58733R102</v>
      </c>
      <c r="E1362" t="s">
        <v>1377</v>
      </c>
      <c r="F1362" t="s">
        <v>7</v>
      </c>
      <c r="G1362">
        <v>3.6999999999999998E-2</v>
      </c>
      <c r="H1362" t="s">
        <v>11</v>
      </c>
    </row>
    <row r="1363" spans="1:8" x14ac:dyDescent="0.25">
      <c r="A1363" t="str">
        <f t="shared" si="21"/>
        <v>31-Jul-18</v>
      </c>
      <c r="B1363" t="s">
        <v>7</v>
      </c>
      <c r="C1363" t="s">
        <v>8</v>
      </c>
      <c r="D1363" t="str">
        <f>"58933Y105"</f>
        <v>58933Y105</v>
      </c>
      <c r="E1363" t="s">
        <v>1378</v>
      </c>
      <c r="F1363" t="s">
        <v>7</v>
      </c>
      <c r="G1363">
        <v>0.38900000000000001</v>
      </c>
      <c r="H1363" t="s">
        <v>11</v>
      </c>
    </row>
    <row r="1364" spans="1:8" x14ac:dyDescent="0.25">
      <c r="A1364" t="str">
        <f t="shared" si="21"/>
        <v>31-Jul-18</v>
      </c>
      <c r="B1364" t="s">
        <v>7</v>
      </c>
      <c r="C1364" t="s">
        <v>8</v>
      </c>
      <c r="D1364" t="str">
        <f>"59156R108"</f>
        <v>59156R108</v>
      </c>
      <c r="E1364" t="s">
        <v>1379</v>
      </c>
      <c r="F1364" t="s">
        <v>7</v>
      </c>
      <c r="G1364">
        <v>4.4999999999999998E-2</v>
      </c>
      <c r="H1364" t="s">
        <v>11</v>
      </c>
    </row>
    <row r="1365" spans="1:8" x14ac:dyDescent="0.25">
      <c r="A1365" t="str">
        <f t="shared" si="21"/>
        <v>31-Jul-18</v>
      </c>
      <c r="B1365" t="s">
        <v>7</v>
      </c>
      <c r="C1365" t="s">
        <v>8</v>
      </c>
      <c r="D1365" t="str">
        <f>"592688105"</f>
        <v>592688105</v>
      </c>
      <c r="E1365" t="s">
        <v>1380</v>
      </c>
      <c r="F1365" t="s">
        <v>7</v>
      </c>
      <c r="G1365">
        <v>7.1999999999999995E-2</v>
      </c>
      <c r="H1365" t="s">
        <v>11</v>
      </c>
    </row>
    <row r="1366" spans="1:8" x14ac:dyDescent="0.25">
      <c r="A1366" t="str">
        <f t="shared" si="21"/>
        <v>31-Jul-18</v>
      </c>
      <c r="B1366" t="s">
        <v>7</v>
      </c>
      <c r="C1366" t="s">
        <v>8</v>
      </c>
      <c r="D1366" t="str">
        <f>"G60754101"</f>
        <v>G60754101</v>
      </c>
      <c r="E1366" t="s">
        <v>1381</v>
      </c>
      <c r="F1366" t="s">
        <v>7</v>
      </c>
      <c r="G1366">
        <v>1.7999999999999999E-2</v>
      </c>
      <c r="H1366" t="s">
        <v>11</v>
      </c>
    </row>
    <row r="1367" spans="1:8" x14ac:dyDescent="0.25">
      <c r="A1367" t="str">
        <f t="shared" si="21"/>
        <v>31-Jul-18</v>
      </c>
      <c r="B1367" t="s">
        <v>7</v>
      </c>
      <c r="C1367" t="s">
        <v>8</v>
      </c>
      <c r="D1367" t="str">
        <f>"595017104"</f>
        <v>595017104</v>
      </c>
      <c r="E1367" t="s">
        <v>1382</v>
      </c>
      <c r="F1367" t="s">
        <v>7</v>
      </c>
      <c r="G1367">
        <v>4.4999999999999998E-2</v>
      </c>
      <c r="H1367" t="s">
        <v>11</v>
      </c>
    </row>
    <row r="1368" spans="1:8" x14ac:dyDescent="0.25">
      <c r="A1368" t="str">
        <f t="shared" si="21"/>
        <v>31-Jul-18</v>
      </c>
      <c r="B1368" t="s">
        <v>7</v>
      </c>
      <c r="C1368" t="s">
        <v>8</v>
      </c>
      <c r="D1368" t="str">
        <f>"595112103"</f>
        <v>595112103</v>
      </c>
      <c r="E1368" t="s">
        <v>1383</v>
      </c>
      <c r="F1368" t="s">
        <v>7</v>
      </c>
      <c r="G1368">
        <v>6.0999999999999999E-2</v>
      </c>
      <c r="H1368" t="s">
        <v>11</v>
      </c>
    </row>
    <row r="1369" spans="1:8" x14ac:dyDescent="0.25">
      <c r="A1369" t="str">
        <f t="shared" si="21"/>
        <v>31-Jul-18</v>
      </c>
      <c r="B1369" t="s">
        <v>7</v>
      </c>
      <c r="C1369" t="s">
        <v>8</v>
      </c>
      <c r="D1369" t="str">
        <f>"594918104"</f>
        <v>594918104</v>
      </c>
      <c r="E1369" t="s">
        <v>1384</v>
      </c>
      <c r="F1369" t="s">
        <v>7</v>
      </c>
      <c r="G1369">
        <v>3.2120000000000002</v>
      </c>
      <c r="H1369" t="s">
        <v>11</v>
      </c>
    </row>
    <row r="1370" spans="1:8" x14ac:dyDescent="0.25">
      <c r="A1370" t="str">
        <f t="shared" si="21"/>
        <v>31-Jul-18</v>
      </c>
      <c r="B1370" t="s">
        <v>7</v>
      </c>
      <c r="C1370" t="s">
        <v>8</v>
      </c>
      <c r="D1370" t="str">
        <f>"59522J103"</f>
        <v>59522J103</v>
      </c>
      <c r="E1370" t="s">
        <v>1385</v>
      </c>
      <c r="F1370" t="s">
        <v>7</v>
      </c>
      <c r="G1370">
        <v>2.7E-2</v>
      </c>
      <c r="H1370" t="s">
        <v>11</v>
      </c>
    </row>
    <row r="1371" spans="1:8" x14ac:dyDescent="0.25">
      <c r="A1371" t="str">
        <f t="shared" si="21"/>
        <v>31-Jul-18</v>
      </c>
      <c r="B1371" t="s">
        <v>7</v>
      </c>
      <c r="C1371" t="s">
        <v>8</v>
      </c>
      <c r="D1371" t="str">
        <f>"596278101"</f>
        <v>596278101</v>
      </c>
      <c r="E1371" t="s">
        <v>1386</v>
      </c>
      <c r="F1371" t="s">
        <v>7</v>
      </c>
      <c r="G1371">
        <v>1.2E-2</v>
      </c>
      <c r="H1371" t="s">
        <v>11</v>
      </c>
    </row>
    <row r="1372" spans="1:8" x14ac:dyDescent="0.25">
      <c r="A1372" t="str">
        <f t="shared" si="21"/>
        <v>31-Jul-18</v>
      </c>
      <c r="B1372" t="s">
        <v>7</v>
      </c>
      <c r="C1372" t="s">
        <v>8</v>
      </c>
      <c r="D1372" t="str">
        <f>"608190104"</f>
        <v>608190104</v>
      </c>
      <c r="E1372" t="s">
        <v>1387</v>
      </c>
      <c r="F1372" t="s">
        <v>7</v>
      </c>
      <c r="G1372">
        <v>2.5000000000000001E-2</v>
      </c>
      <c r="H1372" t="s">
        <v>11</v>
      </c>
    </row>
    <row r="1373" spans="1:8" x14ac:dyDescent="0.25">
      <c r="A1373" t="str">
        <f t="shared" si="21"/>
        <v>31-Jul-18</v>
      </c>
      <c r="B1373" t="s">
        <v>7</v>
      </c>
      <c r="C1373" t="s">
        <v>8</v>
      </c>
      <c r="D1373" t="str">
        <f>"60871R209"</f>
        <v>60871R209</v>
      </c>
      <c r="E1373" t="s">
        <v>1388</v>
      </c>
      <c r="F1373" t="s">
        <v>7</v>
      </c>
      <c r="G1373">
        <v>2.3E-2</v>
      </c>
      <c r="H1373" t="s">
        <v>11</v>
      </c>
    </row>
    <row r="1374" spans="1:8" x14ac:dyDescent="0.25">
      <c r="A1374" t="str">
        <f t="shared" si="21"/>
        <v>31-Jul-18</v>
      </c>
      <c r="B1374" t="s">
        <v>7</v>
      </c>
      <c r="C1374" t="s">
        <v>8</v>
      </c>
      <c r="D1374" t="str">
        <f>"609207105"</f>
        <v>609207105</v>
      </c>
      <c r="E1374" t="s">
        <v>1389</v>
      </c>
      <c r="F1374" t="s">
        <v>7</v>
      </c>
      <c r="G1374">
        <v>0.14199999999999999</v>
      </c>
      <c r="H1374" t="s">
        <v>11</v>
      </c>
    </row>
    <row r="1375" spans="1:8" x14ac:dyDescent="0.25">
      <c r="A1375" t="str">
        <f t="shared" si="21"/>
        <v>31-Jul-18</v>
      </c>
      <c r="B1375" t="s">
        <v>7</v>
      </c>
      <c r="C1375" t="s">
        <v>8</v>
      </c>
      <c r="D1375" t="str">
        <f>"61174X109"</f>
        <v>61174X109</v>
      </c>
      <c r="E1375" t="s">
        <v>1390</v>
      </c>
      <c r="F1375" t="s">
        <v>7</v>
      </c>
      <c r="G1375">
        <v>2.5999999999999999E-2</v>
      </c>
      <c r="H1375" t="s">
        <v>11</v>
      </c>
    </row>
    <row r="1376" spans="1:8" x14ac:dyDescent="0.25">
      <c r="A1376" t="str">
        <f t="shared" si="21"/>
        <v>31-Jul-18</v>
      </c>
      <c r="B1376" t="s">
        <v>7</v>
      </c>
      <c r="C1376" t="s">
        <v>8</v>
      </c>
      <c r="D1376" t="str">
        <f>"615369105"</f>
        <v>615369105</v>
      </c>
      <c r="E1376" t="s">
        <v>1391</v>
      </c>
      <c r="F1376" t="s">
        <v>7</v>
      </c>
      <c r="G1376">
        <v>6.9000000000000006E-2</v>
      </c>
      <c r="H1376" t="s">
        <v>11</v>
      </c>
    </row>
    <row r="1377" spans="1:8" x14ac:dyDescent="0.25">
      <c r="A1377" t="str">
        <f t="shared" si="21"/>
        <v>31-Jul-18</v>
      </c>
      <c r="B1377" t="s">
        <v>7</v>
      </c>
      <c r="C1377" t="s">
        <v>8</v>
      </c>
      <c r="D1377" t="str">
        <f>"617446448"</f>
        <v>617446448</v>
      </c>
      <c r="E1377" t="s">
        <v>1392</v>
      </c>
      <c r="F1377" t="s">
        <v>7</v>
      </c>
      <c r="G1377">
        <v>0.14899999999999999</v>
      </c>
      <c r="H1377" t="s">
        <v>11</v>
      </c>
    </row>
    <row r="1378" spans="1:8" x14ac:dyDescent="0.25">
      <c r="A1378" t="str">
        <f t="shared" si="21"/>
        <v>31-Jul-18</v>
      </c>
      <c r="B1378" t="s">
        <v>7</v>
      </c>
      <c r="C1378" t="s">
        <v>8</v>
      </c>
      <c r="D1378" t="str">
        <f>"61945C103"</f>
        <v>61945C103</v>
      </c>
      <c r="E1378" t="s">
        <v>1393</v>
      </c>
      <c r="F1378" t="s">
        <v>7</v>
      </c>
      <c r="G1378">
        <v>0.02</v>
      </c>
      <c r="H1378" t="s">
        <v>11</v>
      </c>
    </row>
    <row r="1379" spans="1:8" x14ac:dyDescent="0.25">
      <c r="A1379" t="str">
        <f t="shared" si="21"/>
        <v>31-Jul-18</v>
      </c>
      <c r="B1379" t="s">
        <v>7</v>
      </c>
      <c r="C1379" t="s">
        <v>8</v>
      </c>
      <c r="D1379" t="str">
        <f>"620076307"</f>
        <v>620076307</v>
      </c>
      <c r="E1379" t="s">
        <v>1394</v>
      </c>
      <c r="F1379" t="s">
        <v>7</v>
      </c>
      <c r="G1379">
        <v>3.7999999999999999E-2</v>
      </c>
      <c r="H1379" t="s">
        <v>11</v>
      </c>
    </row>
    <row r="1380" spans="1:8" x14ac:dyDescent="0.25">
      <c r="A1380" t="str">
        <f t="shared" si="21"/>
        <v>31-Jul-18</v>
      </c>
      <c r="B1380" t="s">
        <v>7</v>
      </c>
      <c r="C1380" t="s">
        <v>8</v>
      </c>
      <c r="D1380" t="str">
        <f>"N59465109"</f>
        <v>N59465109</v>
      </c>
      <c r="E1380" t="s">
        <v>1395</v>
      </c>
      <c r="F1380" t="s">
        <v>7</v>
      </c>
      <c r="G1380">
        <v>2.4E-2</v>
      </c>
      <c r="H1380" t="s">
        <v>11</v>
      </c>
    </row>
    <row r="1381" spans="1:8" x14ac:dyDescent="0.25">
      <c r="A1381" t="str">
        <f t="shared" si="21"/>
        <v>31-Jul-18</v>
      </c>
      <c r="B1381" t="s">
        <v>7</v>
      </c>
      <c r="C1381" t="s">
        <v>8</v>
      </c>
      <c r="D1381" t="str">
        <f>"654106103"</f>
        <v>654106103</v>
      </c>
      <c r="E1381" t="s">
        <v>1396</v>
      </c>
      <c r="F1381" t="s">
        <v>7</v>
      </c>
      <c r="G1381">
        <v>0.42</v>
      </c>
      <c r="H1381" t="s">
        <v>11</v>
      </c>
    </row>
    <row r="1382" spans="1:8" x14ac:dyDescent="0.25">
      <c r="A1382" t="str">
        <f t="shared" si="21"/>
        <v>31-Jul-18</v>
      </c>
      <c r="B1382" t="s">
        <v>7</v>
      </c>
      <c r="C1382" t="s">
        <v>8</v>
      </c>
      <c r="D1382" t="str">
        <f>"67066G104"</f>
        <v>67066G104</v>
      </c>
      <c r="E1382" t="s">
        <v>1397</v>
      </c>
      <c r="F1382" t="s">
        <v>7</v>
      </c>
      <c r="G1382">
        <v>0.58799999999999997</v>
      </c>
      <c r="H1382" t="s">
        <v>11</v>
      </c>
    </row>
    <row r="1383" spans="1:8" x14ac:dyDescent="0.25">
      <c r="A1383" t="str">
        <f t="shared" si="21"/>
        <v>31-Jul-18</v>
      </c>
      <c r="B1383" t="s">
        <v>7</v>
      </c>
      <c r="C1383" t="s">
        <v>8</v>
      </c>
      <c r="D1383" t="str">
        <f>"62944T105"</f>
        <v>62944T105</v>
      </c>
      <c r="E1383" t="s">
        <v>1398</v>
      </c>
      <c r="F1383" t="s">
        <v>7</v>
      </c>
      <c r="G1383">
        <v>1.9E-2</v>
      </c>
      <c r="H1383" t="s">
        <v>11</v>
      </c>
    </row>
    <row r="1384" spans="1:8" x14ac:dyDescent="0.25">
      <c r="A1384" t="str">
        <f t="shared" si="21"/>
        <v>31-Jul-18</v>
      </c>
      <c r="B1384" t="s">
        <v>7</v>
      </c>
      <c r="C1384" t="s">
        <v>8</v>
      </c>
      <c r="D1384" t="str">
        <f>"N6596X109"</f>
        <v>N6596X109</v>
      </c>
      <c r="E1384" t="s">
        <v>1399</v>
      </c>
      <c r="F1384" t="s">
        <v>7</v>
      </c>
      <c r="G1384">
        <v>6.2E-2</v>
      </c>
      <c r="H1384" t="s">
        <v>11</v>
      </c>
    </row>
    <row r="1385" spans="1:8" x14ac:dyDescent="0.25">
      <c r="A1385" t="str">
        <f t="shared" si="21"/>
        <v>31-Jul-18</v>
      </c>
      <c r="B1385" t="s">
        <v>7</v>
      </c>
      <c r="C1385" t="s">
        <v>8</v>
      </c>
      <c r="D1385" t="str">
        <f>"631103108"</f>
        <v>631103108</v>
      </c>
      <c r="E1385" t="s">
        <v>1400</v>
      </c>
      <c r="F1385" t="s">
        <v>7</v>
      </c>
      <c r="G1385">
        <v>1.2E-2</v>
      </c>
      <c r="H1385" t="s">
        <v>11</v>
      </c>
    </row>
    <row r="1386" spans="1:8" x14ac:dyDescent="0.25">
      <c r="A1386" t="str">
        <f t="shared" si="21"/>
        <v>31-Jul-18</v>
      </c>
      <c r="B1386" t="s">
        <v>7</v>
      </c>
      <c r="C1386" t="s">
        <v>8</v>
      </c>
      <c r="D1386" t="str">
        <f>"637071101"</f>
        <v>637071101</v>
      </c>
      <c r="E1386" t="s">
        <v>1401</v>
      </c>
      <c r="F1386" t="s">
        <v>7</v>
      </c>
      <c r="G1386">
        <v>0.04</v>
      </c>
      <c r="H1386" t="s">
        <v>11</v>
      </c>
    </row>
    <row r="1387" spans="1:8" x14ac:dyDescent="0.25">
      <c r="A1387" t="str">
        <f t="shared" si="21"/>
        <v>31-Jul-18</v>
      </c>
      <c r="B1387" t="s">
        <v>7</v>
      </c>
      <c r="C1387" t="s">
        <v>8</v>
      </c>
      <c r="D1387" t="str">
        <f>"637417106"</f>
        <v>637417106</v>
      </c>
      <c r="E1387" t="s">
        <v>1402</v>
      </c>
      <c r="F1387" t="s">
        <v>7</v>
      </c>
      <c r="G1387">
        <v>8.9999999999999993E-3</v>
      </c>
      <c r="H1387" t="s">
        <v>11</v>
      </c>
    </row>
    <row r="1388" spans="1:8" x14ac:dyDescent="0.25">
      <c r="A1388" t="str">
        <f t="shared" si="21"/>
        <v>31-Jul-18</v>
      </c>
      <c r="B1388" t="s">
        <v>7</v>
      </c>
      <c r="C1388" t="s">
        <v>8</v>
      </c>
      <c r="D1388" t="str">
        <f>"640268108"</f>
        <v>640268108</v>
      </c>
      <c r="E1388" t="s">
        <v>1403</v>
      </c>
      <c r="F1388" t="s">
        <v>7</v>
      </c>
      <c r="G1388">
        <v>1.7000000000000001E-2</v>
      </c>
      <c r="H1388" t="s">
        <v>11</v>
      </c>
    </row>
    <row r="1389" spans="1:8" x14ac:dyDescent="0.25">
      <c r="A1389" t="str">
        <f t="shared" si="21"/>
        <v>31-Jul-18</v>
      </c>
      <c r="B1389" t="s">
        <v>7</v>
      </c>
      <c r="C1389" t="s">
        <v>8</v>
      </c>
      <c r="D1389" t="str">
        <f>"64110D104"</f>
        <v>64110D104</v>
      </c>
      <c r="E1389" t="s">
        <v>1404</v>
      </c>
      <c r="F1389" t="s">
        <v>7</v>
      </c>
      <c r="G1389">
        <v>4.5999999999999999E-2</v>
      </c>
      <c r="H1389" t="s">
        <v>11</v>
      </c>
    </row>
    <row r="1390" spans="1:8" x14ac:dyDescent="0.25">
      <c r="A1390" t="str">
        <f t="shared" si="21"/>
        <v>31-Jul-18</v>
      </c>
      <c r="B1390" t="s">
        <v>7</v>
      </c>
      <c r="C1390" t="s">
        <v>8</v>
      </c>
      <c r="D1390" t="str">
        <f>"64110L106"</f>
        <v>64110L106</v>
      </c>
      <c r="E1390" t="s">
        <v>1405</v>
      </c>
      <c r="F1390" t="s">
        <v>7</v>
      </c>
      <c r="G1390">
        <v>0.29599999999999999</v>
      </c>
      <c r="H1390" t="s">
        <v>11</v>
      </c>
    </row>
    <row r="1391" spans="1:8" x14ac:dyDescent="0.25">
      <c r="A1391" t="str">
        <f t="shared" si="21"/>
        <v>31-Jul-18</v>
      </c>
      <c r="B1391" t="s">
        <v>7</v>
      </c>
      <c r="C1391" t="s">
        <v>8</v>
      </c>
      <c r="D1391" t="str">
        <f>"649445103"</f>
        <v>649445103</v>
      </c>
      <c r="E1391" t="s">
        <v>1406</v>
      </c>
      <c r="F1391" t="s">
        <v>7</v>
      </c>
      <c r="G1391">
        <v>1.2E-2</v>
      </c>
      <c r="H1391" t="s">
        <v>11</v>
      </c>
    </row>
    <row r="1392" spans="1:8" x14ac:dyDescent="0.25">
      <c r="A1392" t="str">
        <f t="shared" si="21"/>
        <v>31-Jul-18</v>
      </c>
      <c r="B1392" t="s">
        <v>7</v>
      </c>
      <c r="C1392" t="s">
        <v>8</v>
      </c>
      <c r="D1392" t="str">
        <f>"651229106"</f>
        <v>651229106</v>
      </c>
      <c r="E1392" t="s">
        <v>1407</v>
      </c>
      <c r="F1392" t="s">
        <v>7</v>
      </c>
      <c r="G1392">
        <v>2.4E-2</v>
      </c>
      <c r="H1392" t="s">
        <v>11</v>
      </c>
    </row>
    <row r="1393" spans="1:8" x14ac:dyDescent="0.25">
      <c r="A1393" t="str">
        <f t="shared" si="21"/>
        <v>31-Jul-18</v>
      </c>
      <c r="B1393" t="s">
        <v>7</v>
      </c>
      <c r="C1393" t="s">
        <v>8</v>
      </c>
      <c r="D1393" t="str">
        <f>"651290108"</f>
        <v>651290108</v>
      </c>
      <c r="E1393" t="s">
        <v>1408</v>
      </c>
      <c r="F1393" t="s">
        <v>7</v>
      </c>
      <c r="G1393">
        <v>8.9999999999999993E-3</v>
      </c>
      <c r="H1393" t="s">
        <v>11</v>
      </c>
    </row>
    <row r="1394" spans="1:8" x14ac:dyDescent="0.25">
      <c r="A1394" t="str">
        <f t="shared" si="21"/>
        <v>31-Jul-18</v>
      </c>
      <c r="B1394" t="s">
        <v>7</v>
      </c>
      <c r="C1394" t="s">
        <v>8</v>
      </c>
      <c r="D1394" t="str">
        <f>"651639106"</f>
        <v>651639106</v>
      </c>
      <c r="E1394" t="s">
        <v>1409</v>
      </c>
      <c r="F1394" t="s">
        <v>7</v>
      </c>
      <c r="G1394">
        <v>5.1999999999999998E-2</v>
      </c>
      <c r="H1394" t="s">
        <v>11</v>
      </c>
    </row>
    <row r="1395" spans="1:8" x14ac:dyDescent="0.25">
      <c r="A1395" t="str">
        <f t="shared" si="21"/>
        <v>31-Jul-18</v>
      </c>
      <c r="B1395" t="s">
        <v>7</v>
      </c>
      <c r="C1395" t="s">
        <v>8</v>
      </c>
      <c r="D1395" t="str">
        <f>"65249B109"</f>
        <v>65249B109</v>
      </c>
      <c r="E1395" t="s">
        <v>1410</v>
      </c>
      <c r="F1395" t="s">
        <v>7</v>
      </c>
      <c r="G1395">
        <v>1.0999999999999999E-2</v>
      </c>
      <c r="H1395" t="s">
        <v>11</v>
      </c>
    </row>
    <row r="1396" spans="1:8" x14ac:dyDescent="0.25">
      <c r="A1396" t="str">
        <f t="shared" si="21"/>
        <v>31-Jul-18</v>
      </c>
      <c r="B1396" t="s">
        <v>7</v>
      </c>
      <c r="C1396" t="s">
        <v>8</v>
      </c>
      <c r="D1396" t="str">
        <f>"65339F101"</f>
        <v>65339F101</v>
      </c>
      <c r="E1396" t="s">
        <v>1411</v>
      </c>
      <c r="F1396" t="s">
        <v>7</v>
      </c>
      <c r="G1396">
        <v>0.33700000000000002</v>
      </c>
      <c r="H1396" t="s">
        <v>11</v>
      </c>
    </row>
    <row r="1397" spans="1:8" x14ac:dyDescent="0.25">
      <c r="A1397" t="str">
        <f t="shared" si="21"/>
        <v>31-Jul-18</v>
      </c>
      <c r="B1397" t="s">
        <v>7</v>
      </c>
      <c r="C1397" t="s">
        <v>8</v>
      </c>
      <c r="D1397" t="str">
        <f>"65473P105"</f>
        <v>65473P105</v>
      </c>
      <c r="E1397" t="s">
        <v>1412</v>
      </c>
      <c r="F1397" t="s">
        <v>7</v>
      </c>
      <c r="G1397">
        <v>1.9E-2</v>
      </c>
      <c r="H1397" t="s">
        <v>11</v>
      </c>
    </row>
    <row r="1398" spans="1:8" x14ac:dyDescent="0.25">
      <c r="A1398" t="str">
        <f t="shared" si="21"/>
        <v>31-Jul-18</v>
      </c>
      <c r="B1398" t="s">
        <v>7</v>
      </c>
      <c r="C1398" t="s">
        <v>8</v>
      </c>
      <c r="D1398" t="str">
        <f>"G6518L108"</f>
        <v>G6518L108</v>
      </c>
      <c r="E1398" t="s">
        <v>1413</v>
      </c>
      <c r="F1398" t="s">
        <v>7</v>
      </c>
      <c r="G1398">
        <v>1.7000000000000001E-2</v>
      </c>
      <c r="H1398" t="s">
        <v>11</v>
      </c>
    </row>
    <row r="1399" spans="1:8" x14ac:dyDescent="0.25">
      <c r="A1399" t="str">
        <f t="shared" si="21"/>
        <v>31-Jul-18</v>
      </c>
      <c r="B1399" t="s">
        <v>7</v>
      </c>
      <c r="C1399" t="s">
        <v>8</v>
      </c>
      <c r="D1399" t="str">
        <f>"655044105"</f>
        <v>655044105</v>
      </c>
      <c r="E1399" t="s">
        <v>1414</v>
      </c>
      <c r="F1399" t="s">
        <v>7</v>
      </c>
      <c r="G1399">
        <v>3.2000000000000001E-2</v>
      </c>
      <c r="H1399" t="s">
        <v>11</v>
      </c>
    </row>
    <row r="1400" spans="1:8" x14ac:dyDescent="0.25">
      <c r="A1400" t="str">
        <f t="shared" si="21"/>
        <v>31-Jul-18</v>
      </c>
      <c r="B1400" t="s">
        <v>7</v>
      </c>
      <c r="C1400" t="s">
        <v>8</v>
      </c>
      <c r="D1400" t="str">
        <f>"655664100"</f>
        <v>655664100</v>
      </c>
      <c r="E1400" t="s">
        <v>1415</v>
      </c>
      <c r="F1400" t="s">
        <v>7</v>
      </c>
      <c r="G1400">
        <v>1.2999999999999999E-2</v>
      </c>
      <c r="H1400" t="s">
        <v>11</v>
      </c>
    </row>
    <row r="1401" spans="1:8" x14ac:dyDescent="0.25">
      <c r="A1401" t="str">
        <f t="shared" si="21"/>
        <v>31-Jul-18</v>
      </c>
      <c r="B1401" t="s">
        <v>7</v>
      </c>
      <c r="C1401" t="s">
        <v>8</v>
      </c>
      <c r="D1401" t="str">
        <f>"655844108"</f>
        <v>655844108</v>
      </c>
      <c r="E1401" t="s">
        <v>1416</v>
      </c>
      <c r="F1401" t="s">
        <v>7</v>
      </c>
      <c r="G1401">
        <v>8.4000000000000005E-2</v>
      </c>
      <c r="H1401" t="s">
        <v>11</v>
      </c>
    </row>
    <row r="1402" spans="1:8" x14ac:dyDescent="0.25">
      <c r="A1402" t="str">
        <f t="shared" si="21"/>
        <v>31-Jul-18</v>
      </c>
      <c r="B1402" t="s">
        <v>7</v>
      </c>
      <c r="C1402" t="s">
        <v>8</v>
      </c>
      <c r="D1402" t="str">
        <f>"665859104"</f>
        <v>665859104</v>
      </c>
      <c r="E1402" t="s">
        <v>1417</v>
      </c>
      <c r="F1402" t="s">
        <v>7</v>
      </c>
      <c r="G1402">
        <v>9.7000000000000003E-2</v>
      </c>
      <c r="H1402" t="s">
        <v>11</v>
      </c>
    </row>
    <row r="1403" spans="1:8" x14ac:dyDescent="0.25">
      <c r="A1403" t="str">
        <f t="shared" si="21"/>
        <v>31-Jul-18</v>
      </c>
      <c r="B1403" t="s">
        <v>7</v>
      </c>
      <c r="C1403" t="s">
        <v>8</v>
      </c>
      <c r="D1403" t="str">
        <f>"G66721104"</f>
        <v>G66721104</v>
      </c>
      <c r="E1403" t="s">
        <v>1418</v>
      </c>
      <c r="F1403" t="s">
        <v>7</v>
      </c>
      <c r="G1403">
        <v>1.7999999999999999E-2</v>
      </c>
      <c r="H1403" t="s">
        <v>11</v>
      </c>
    </row>
    <row r="1404" spans="1:8" x14ac:dyDescent="0.25">
      <c r="A1404" t="str">
        <f t="shared" si="21"/>
        <v>31-Jul-18</v>
      </c>
      <c r="B1404" t="s">
        <v>7</v>
      </c>
      <c r="C1404" t="s">
        <v>8</v>
      </c>
      <c r="D1404" t="str">
        <f>"670346105"</f>
        <v>670346105</v>
      </c>
      <c r="E1404" t="s">
        <v>1419</v>
      </c>
      <c r="F1404" t="s">
        <v>7</v>
      </c>
      <c r="G1404">
        <v>4.7E-2</v>
      </c>
      <c r="H1404" t="s">
        <v>11</v>
      </c>
    </row>
    <row r="1405" spans="1:8" x14ac:dyDescent="0.25">
      <c r="A1405" t="str">
        <f t="shared" si="21"/>
        <v>31-Jul-18</v>
      </c>
      <c r="B1405" t="s">
        <v>7</v>
      </c>
      <c r="C1405" t="s">
        <v>8</v>
      </c>
      <c r="D1405" t="str">
        <f>"67103H107"</f>
        <v>67103H107</v>
      </c>
      <c r="E1405" t="s">
        <v>1420</v>
      </c>
      <c r="F1405" t="s">
        <v>7</v>
      </c>
      <c r="G1405">
        <v>2.9000000000000001E-2</v>
      </c>
      <c r="H1405" t="s">
        <v>11</v>
      </c>
    </row>
    <row r="1406" spans="1:8" x14ac:dyDescent="0.25">
      <c r="A1406" t="str">
        <f t="shared" si="21"/>
        <v>31-Jul-18</v>
      </c>
      <c r="B1406" t="s">
        <v>7</v>
      </c>
      <c r="C1406" t="s">
        <v>8</v>
      </c>
      <c r="D1406" t="str">
        <f>"670837103"</f>
        <v>670837103</v>
      </c>
      <c r="E1406" t="s">
        <v>1421</v>
      </c>
      <c r="F1406" t="s">
        <v>7</v>
      </c>
      <c r="G1406">
        <v>1.6E-2</v>
      </c>
      <c r="H1406" t="s">
        <v>11</v>
      </c>
    </row>
    <row r="1407" spans="1:8" x14ac:dyDescent="0.25">
      <c r="A1407" t="str">
        <f t="shared" si="21"/>
        <v>31-Jul-18</v>
      </c>
      <c r="B1407" t="s">
        <v>7</v>
      </c>
      <c r="C1407" t="s">
        <v>8</v>
      </c>
      <c r="D1407" t="str">
        <f>"682189105"</f>
        <v>682189105</v>
      </c>
      <c r="E1407" t="s">
        <v>1422</v>
      </c>
      <c r="F1407" t="s">
        <v>7</v>
      </c>
      <c r="G1407">
        <v>1.2999999999999999E-2</v>
      </c>
      <c r="H1407" t="s">
        <v>11</v>
      </c>
    </row>
    <row r="1408" spans="1:8" x14ac:dyDescent="0.25">
      <c r="A1408" t="str">
        <f t="shared" si="21"/>
        <v>31-Jul-18</v>
      </c>
      <c r="B1408" t="s">
        <v>7</v>
      </c>
      <c r="C1408" t="s">
        <v>8</v>
      </c>
      <c r="D1408" t="str">
        <f>"682680103"</f>
        <v>682680103</v>
      </c>
      <c r="E1408" t="s">
        <v>1423</v>
      </c>
      <c r="F1408" t="s">
        <v>7</v>
      </c>
      <c r="G1408">
        <v>5.8000000000000003E-2</v>
      </c>
      <c r="H1408" t="s">
        <v>11</v>
      </c>
    </row>
    <row r="1409" spans="1:8" x14ac:dyDescent="0.25">
      <c r="A1409" t="str">
        <f t="shared" si="21"/>
        <v>31-Jul-18</v>
      </c>
      <c r="B1409" t="s">
        <v>7</v>
      </c>
      <c r="C1409" t="s">
        <v>8</v>
      </c>
      <c r="D1409" t="str">
        <f>"674599105"</f>
        <v>674599105</v>
      </c>
      <c r="E1409" t="s">
        <v>1424</v>
      </c>
      <c r="F1409" t="s">
        <v>7</v>
      </c>
      <c r="G1409">
        <v>0.13900000000000001</v>
      </c>
      <c r="H1409" t="s">
        <v>11</v>
      </c>
    </row>
    <row r="1410" spans="1:8" x14ac:dyDescent="0.25">
      <c r="A1410" t="str">
        <f t="shared" ref="A1410:A1473" si="22">"31-Jul-18"</f>
        <v>31-Jul-18</v>
      </c>
      <c r="B1410" t="s">
        <v>7</v>
      </c>
      <c r="C1410" t="s">
        <v>8</v>
      </c>
      <c r="D1410" t="str">
        <f>"679580100"</f>
        <v>679580100</v>
      </c>
      <c r="E1410" t="s">
        <v>1425</v>
      </c>
      <c r="F1410" t="s">
        <v>7</v>
      </c>
      <c r="G1410">
        <v>4.0000000000000001E-3</v>
      </c>
      <c r="H1410" t="s">
        <v>11</v>
      </c>
    </row>
    <row r="1411" spans="1:8" x14ac:dyDescent="0.25">
      <c r="A1411" t="str">
        <f t="shared" si="22"/>
        <v>31-Jul-18</v>
      </c>
      <c r="B1411" t="s">
        <v>7</v>
      </c>
      <c r="C1411" t="s">
        <v>8</v>
      </c>
      <c r="D1411" t="str">
        <f>"681919106"</f>
        <v>681919106</v>
      </c>
      <c r="E1411" t="s">
        <v>1426</v>
      </c>
      <c r="F1411" t="s">
        <v>7</v>
      </c>
      <c r="G1411">
        <v>4.3999999999999997E-2</v>
      </c>
      <c r="H1411" t="s">
        <v>11</v>
      </c>
    </row>
    <row r="1412" spans="1:8" x14ac:dyDescent="0.25">
      <c r="A1412" t="str">
        <f t="shared" si="22"/>
        <v>31-Jul-18</v>
      </c>
      <c r="B1412" t="s">
        <v>7</v>
      </c>
      <c r="C1412" t="s">
        <v>8</v>
      </c>
      <c r="D1412" t="str">
        <f>"68389X105"</f>
        <v>68389X105</v>
      </c>
      <c r="E1412" t="s">
        <v>1427</v>
      </c>
      <c r="F1412" t="s">
        <v>7</v>
      </c>
      <c r="G1412">
        <v>0.313</v>
      </c>
      <c r="H1412" t="s">
        <v>11</v>
      </c>
    </row>
    <row r="1413" spans="1:8" x14ac:dyDescent="0.25">
      <c r="A1413" t="str">
        <f t="shared" si="22"/>
        <v>31-Jul-18</v>
      </c>
      <c r="B1413" t="s">
        <v>7</v>
      </c>
      <c r="C1413" t="s">
        <v>8</v>
      </c>
      <c r="D1413" t="str">
        <f>"690742101"</f>
        <v>690742101</v>
      </c>
      <c r="E1413" t="s">
        <v>1428</v>
      </c>
      <c r="F1413" t="s">
        <v>7</v>
      </c>
      <c r="G1413">
        <v>1.9E-2</v>
      </c>
      <c r="H1413" t="s">
        <v>11</v>
      </c>
    </row>
    <row r="1414" spans="1:8" x14ac:dyDescent="0.25">
      <c r="A1414" t="str">
        <f t="shared" si="22"/>
        <v>31-Jul-18</v>
      </c>
      <c r="B1414" t="s">
        <v>7</v>
      </c>
      <c r="C1414" t="s">
        <v>8</v>
      </c>
      <c r="D1414" t="str">
        <f>"693718108"</f>
        <v>693718108</v>
      </c>
      <c r="E1414" t="s">
        <v>1429</v>
      </c>
      <c r="F1414" t="s">
        <v>7</v>
      </c>
      <c r="G1414">
        <v>6.3E-2</v>
      </c>
      <c r="H1414" t="s">
        <v>11</v>
      </c>
    </row>
    <row r="1415" spans="1:8" x14ac:dyDescent="0.25">
      <c r="A1415" t="str">
        <f t="shared" si="22"/>
        <v>31-Jul-18</v>
      </c>
      <c r="B1415" t="s">
        <v>7</v>
      </c>
      <c r="C1415" t="s">
        <v>8</v>
      </c>
      <c r="D1415" t="str">
        <f>"69331C108"</f>
        <v>69331C108</v>
      </c>
      <c r="E1415" t="s">
        <v>1430</v>
      </c>
      <c r="F1415" t="s">
        <v>7</v>
      </c>
      <c r="G1415">
        <v>0.04</v>
      </c>
      <c r="H1415" t="s">
        <v>11</v>
      </c>
    </row>
    <row r="1416" spans="1:8" x14ac:dyDescent="0.25">
      <c r="A1416" t="str">
        <f t="shared" si="22"/>
        <v>31-Jul-18</v>
      </c>
      <c r="B1416" t="s">
        <v>7</v>
      </c>
      <c r="C1416" t="s">
        <v>8</v>
      </c>
      <c r="D1416" t="str">
        <f>"693475105"</f>
        <v>693475105</v>
      </c>
      <c r="E1416" t="s">
        <v>1431</v>
      </c>
      <c r="F1416" t="s">
        <v>7</v>
      </c>
      <c r="G1416">
        <v>0.17799999999999999</v>
      </c>
      <c r="H1416" t="s">
        <v>11</v>
      </c>
    </row>
    <row r="1417" spans="1:8" x14ac:dyDescent="0.25">
      <c r="A1417" t="str">
        <f t="shared" si="22"/>
        <v>31-Jul-18</v>
      </c>
      <c r="B1417" t="s">
        <v>7</v>
      </c>
      <c r="C1417" t="s">
        <v>8</v>
      </c>
      <c r="D1417" t="str">
        <f>"693506107"</f>
        <v>693506107</v>
      </c>
      <c r="E1417" t="s">
        <v>1432</v>
      </c>
      <c r="F1417" t="s">
        <v>7</v>
      </c>
      <c r="G1417">
        <v>6.3E-2</v>
      </c>
      <c r="H1417" t="s">
        <v>11</v>
      </c>
    </row>
    <row r="1418" spans="1:8" x14ac:dyDescent="0.25">
      <c r="A1418" t="str">
        <f t="shared" si="22"/>
        <v>31-Jul-18</v>
      </c>
      <c r="B1418" t="s">
        <v>7</v>
      </c>
      <c r="C1418" t="s">
        <v>8</v>
      </c>
      <c r="D1418" t="str">
        <f>"69351T106"</f>
        <v>69351T106</v>
      </c>
      <c r="E1418" t="s">
        <v>1433</v>
      </c>
      <c r="F1418" t="s">
        <v>7</v>
      </c>
      <c r="G1418">
        <v>4.1000000000000002E-2</v>
      </c>
      <c r="H1418" t="s">
        <v>11</v>
      </c>
    </row>
    <row r="1419" spans="1:8" x14ac:dyDescent="0.25">
      <c r="A1419" t="str">
        <f t="shared" si="22"/>
        <v>31-Jul-18</v>
      </c>
      <c r="B1419" t="s">
        <v>7</v>
      </c>
      <c r="C1419" t="s">
        <v>8</v>
      </c>
      <c r="D1419" t="str">
        <f>"693656100"</f>
        <v>693656100</v>
      </c>
      <c r="E1419" t="s">
        <v>1434</v>
      </c>
      <c r="F1419" t="s">
        <v>7</v>
      </c>
      <c r="G1419">
        <v>4.8000000000000001E-2</v>
      </c>
      <c r="H1419" t="s">
        <v>11</v>
      </c>
    </row>
    <row r="1420" spans="1:8" x14ac:dyDescent="0.25">
      <c r="A1420" t="str">
        <f t="shared" si="22"/>
        <v>31-Jul-18</v>
      </c>
      <c r="B1420" t="s">
        <v>7</v>
      </c>
      <c r="C1420" t="s">
        <v>8</v>
      </c>
      <c r="D1420" t="str">
        <f>"695156109"</f>
        <v>695156109</v>
      </c>
      <c r="E1420" t="s">
        <v>1435</v>
      </c>
      <c r="F1420" t="s">
        <v>7</v>
      </c>
      <c r="G1420">
        <v>1.0999999999999999E-2</v>
      </c>
      <c r="H1420" t="s">
        <v>11</v>
      </c>
    </row>
    <row r="1421" spans="1:8" x14ac:dyDescent="0.25">
      <c r="A1421" t="str">
        <f t="shared" si="22"/>
        <v>31-Jul-18</v>
      </c>
      <c r="B1421" t="s">
        <v>7</v>
      </c>
      <c r="C1421" t="s">
        <v>8</v>
      </c>
      <c r="D1421" t="str">
        <f>"697435105"</f>
        <v>697435105</v>
      </c>
      <c r="E1421" t="s">
        <v>1436</v>
      </c>
      <c r="F1421" t="s">
        <v>7</v>
      </c>
      <c r="G1421">
        <v>0.04</v>
      </c>
      <c r="H1421" t="s">
        <v>11</v>
      </c>
    </row>
    <row r="1422" spans="1:8" x14ac:dyDescent="0.25">
      <c r="A1422" t="str">
        <f t="shared" si="22"/>
        <v>31-Jul-18</v>
      </c>
      <c r="B1422" t="s">
        <v>7</v>
      </c>
      <c r="C1422" t="s">
        <v>8</v>
      </c>
      <c r="D1422" t="str">
        <f>"701094104"</f>
        <v>701094104</v>
      </c>
      <c r="E1422" t="s">
        <v>1437</v>
      </c>
      <c r="F1422" t="s">
        <v>7</v>
      </c>
      <c r="G1422">
        <v>5.6000000000000001E-2</v>
      </c>
      <c r="H1422" t="s">
        <v>11</v>
      </c>
    </row>
    <row r="1423" spans="1:8" x14ac:dyDescent="0.25">
      <c r="A1423" t="str">
        <f t="shared" si="22"/>
        <v>31-Jul-18</v>
      </c>
      <c r="B1423" t="s">
        <v>7</v>
      </c>
      <c r="C1423" t="s">
        <v>8</v>
      </c>
      <c r="D1423" t="str">
        <f>"701877102"</f>
        <v>701877102</v>
      </c>
      <c r="E1423" t="s">
        <v>1438</v>
      </c>
      <c r="F1423" t="s">
        <v>7</v>
      </c>
      <c r="G1423">
        <v>7.0000000000000001E-3</v>
      </c>
      <c r="H1423" t="s">
        <v>11</v>
      </c>
    </row>
    <row r="1424" spans="1:8" x14ac:dyDescent="0.25">
      <c r="A1424" t="str">
        <f t="shared" si="22"/>
        <v>31-Jul-18</v>
      </c>
      <c r="B1424" t="s">
        <v>7</v>
      </c>
      <c r="C1424" t="s">
        <v>8</v>
      </c>
      <c r="D1424" t="str">
        <f>"70450Y103"</f>
        <v>70450Y103</v>
      </c>
      <c r="E1424" t="s">
        <v>1439</v>
      </c>
      <c r="F1424" t="s">
        <v>7</v>
      </c>
      <c r="G1424">
        <v>0.2</v>
      </c>
      <c r="H1424" t="s">
        <v>11</v>
      </c>
    </row>
    <row r="1425" spans="1:8" x14ac:dyDescent="0.25">
      <c r="A1425" t="str">
        <f t="shared" si="22"/>
        <v>31-Jul-18</v>
      </c>
      <c r="B1425" t="s">
        <v>7</v>
      </c>
      <c r="C1425" t="s">
        <v>8</v>
      </c>
      <c r="D1425" t="str">
        <f>"704326107"</f>
        <v>704326107</v>
      </c>
      <c r="E1425" t="s">
        <v>1440</v>
      </c>
      <c r="F1425" t="s">
        <v>7</v>
      </c>
      <c r="G1425">
        <v>5.5E-2</v>
      </c>
      <c r="H1425" t="s">
        <v>11</v>
      </c>
    </row>
    <row r="1426" spans="1:8" x14ac:dyDescent="0.25">
      <c r="A1426" t="str">
        <f t="shared" si="22"/>
        <v>31-Jul-18</v>
      </c>
      <c r="B1426" t="s">
        <v>7</v>
      </c>
      <c r="C1426" t="s">
        <v>8</v>
      </c>
      <c r="D1426" t="str">
        <f>"G7S00T104"</f>
        <v>G7S00T104</v>
      </c>
      <c r="E1426" t="s">
        <v>1441</v>
      </c>
      <c r="F1426" t="s">
        <v>7</v>
      </c>
      <c r="G1426">
        <v>1.2999999999999999E-2</v>
      </c>
      <c r="H1426" t="s">
        <v>11</v>
      </c>
    </row>
    <row r="1427" spans="1:8" x14ac:dyDescent="0.25">
      <c r="A1427" t="str">
        <f t="shared" si="22"/>
        <v>31-Jul-18</v>
      </c>
      <c r="B1427" t="s">
        <v>7</v>
      </c>
      <c r="C1427" t="s">
        <v>8</v>
      </c>
      <c r="D1427" t="str">
        <f>"712704105"</f>
        <v>712704105</v>
      </c>
      <c r="E1427" t="s">
        <v>1442</v>
      </c>
      <c r="F1427" t="s">
        <v>7</v>
      </c>
      <c r="G1427">
        <v>8.9999999999999993E-3</v>
      </c>
      <c r="H1427" t="s">
        <v>11</v>
      </c>
    </row>
    <row r="1428" spans="1:8" x14ac:dyDescent="0.25">
      <c r="A1428" t="str">
        <f t="shared" si="22"/>
        <v>31-Jul-18</v>
      </c>
      <c r="B1428" t="s">
        <v>7</v>
      </c>
      <c r="C1428" t="s">
        <v>8</v>
      </c>
      <c r="D1428" t="str">
        <f>"713448108"</f>
        <v>713448108</v>
      </c>
      <c r="E1428" t="s">
        <v>1443</v>
      </c>
      <c r="F1428" t="s">
        <v>7</v>
      </c>
      <c r="G1428">
        <v>0.68600000000000005</v>
      </c>
      <c r="H1428" t="s">
        <v>11</v>
      </c>
    </row>
    <row r="1429" spans="1:8" x14ac:dyDescent="0.25">
      <c r="A1429" t="str">
        <f t="shared" si="22"/>
        <v>31-Jul-18</v>
      </c>
      <c r="B1429" t="s">
        <v>7</v>
      </c>
      <c r="C1429" t="s">
        <v>8</v>
      </c>
      <c r="D1429" t="str">
        <f>"G97822103"</f>
        <v>G97822103</v>
      </c>
      <c r="E1429" t="s">
        <v>1444</v>
      </c>
      <c r="F1429" t="s">
        <v>7</v>
      </c>
      <c r="G1429">
        <v>2.8000000000000001E-2</v>
      </c>
      <c r="H1429" t="s">
        <v>11</v>
      </c>
    </row>
    <row r="1430" spans="1:8" x14ac:dyDescent="0.25">
      <c r="A1430" t="str">
        <f t="shared" si="22"/>
        <v>31-Jul-18</v>
      </c>
      <c r="B1430" t="s">
        <v>7</v>
      </c>
      <c r="C1430" t="s">
        <v>8</v>
      </c>
      <c r="D1430" t="str">
        <f>"717081103"</f>
        <v>717081103</v>
      </c>
      <c r="E1430" t="s">
        <v>1445</v>
      </c>
      <c r="F1430" t="s">
        <v>7</v>
      </c>
      <c r="G1430">
        <v>0.3</v>
      </c>
      <c r="H1430" t="s">
        <v>11</v>
      </c>
    </row>
    <row r="1431" spans="1:8" x14ac:dyDescent="0.25">
      <c r="A1431" t="str">
        <f t="shared" si="22"/>
        <v>31-Jul-18</v>
      </c>
      <c r="B1431" t="s">
        <v>7</v>
      </c>
      <c r="C1431" t="s">
        <v>8</v>
      </c>
      <c r="D1431" t="str">
        <f>"718172109"</f>
        <v>718172109</v>
      </c>
      <c r="E1431" t="s">
        <v>1446</v>
      </c>
      <c r="F1431" t="s">
        <v>7</v>
      </c>
      <c r="G1431">
        <v>0.34499999999999997</v>
      </c>
      <c r="H1431" t="s">
        <v>11</v>
      </c>
    </row>
    <row r="1432" spans="1:8" x14ac:dyDescent="0.25">
      <c r="A1432" t="str">
        <f t="shared" si="22"/>
        <v>31-Jul-18</v>
      </c>
      <c r="B1432" t="s">
        <v>7</v>
      </c>
      <c r="C1432" t="s">
        <v>8</v>
      </c>
      <c r="D1432" t="str">
        <f>"718546104"</f>
        <v>718546104</v>
      </c>
      <c r="E1432" t="s">
        <v>1447</v>
      </c>
      <c r="F1432" t="s">
        <v>7</v>
      </c>
      <c r="G1432">
        <v>9.1999999999999998E-2</v>
      </c>
      <c r="H1432" t="s">
        <v>11</v>
      </c>
    </row>
    <row r="1433" spans="1:8" x14ac:dyDescent="0.25">
      <c r="A1433" t="str">
        <f t="shared" si="22"/>
        <v>31-Jul-18</v>
      </c>
      <c r="B1433" t="s">
        <v>7</v>
      </c>
      <c r="C1433" t="s">
        <v>8</v>
      </c>
      <c r="D1433" t="str">
        <f>"723484101"</f>
        <v>723484101</v>
      </c>
      <c r="E1433" t="s">
        <v>1448</v>
      </c>
      <c r="F1433" t="s">
        <v>7</v>
      </c>
      <c r="G1433">
        <v>2.4E-2</v>
      </c>
      <c r="H1433" t="s">
        <v>11</v>
      </c>
    </row>
    <row r="1434" spans="1:8" x14ac:dyDescent="0.25">
      <c r="A1434" t="str">
        <f t="shared" si="22"/>
        <v>31-Jul-18</v>
      </c>
      <c r="B1434" t="s">
        <v>7</v>
      </c>
      <c r="C1434" t="s">
        <v>8</v>
      </c>
      <c r="D1434" t="str">
        <f>"723787107"</f>
        <v>723787107</v>
      </c>
      <c r="E1434" t="s">
        <v>1449</v>
      </c>
      <c r="F1434" t="s">
        <v>7</v>
      </c>
      <c r="G1434">
        <v>6.9000000000000006E-2</v>
      </c>
      <c r="H1434" t="s">
        <v>11</v>
      </c>
    </row>
    <row r="1435" spans="1:8" x14ac:dyDescent="0.25">
      <c r="A1435" t="str">
        <f t="shared" si="22"/>
        <v>31-Jul-18</v>
      </c>
      <c r="B1435" t="s">
        <v>7</v>
      </c>
      <c r="C1435" t="s">
        <v>8</v>
      </c>
      <c r="D1435" t="str">
        <f>"72651A207"</f>
        <v>72651A207</v>
      </c>
      <c r="E1435" t="s">
        <v>1450</v>
      </c>
      <c r="F1435" t="s">
        <v>7</v>
      </c>
      <c r="G1435">
        <v>5.0000000000000001E-3</v>
      </c>
      <c r="H1435" t="s">
        <v>11</v>
      </c>
    </row>
    <row r="1436" spans="1:8" x14ac:dyDescent="0.25">
      <c r="A1436" t="str">
        <f t="shared" si="22"/>
        <v>31-Jul-18</v>
      </c>
      <c r="B1436" t="s">
        <v>7</v>
      </c>
      <c r="C1436" t="s">
        <v>8</v>
      </c>
      <c r="D1436" t="str">
        <f>"731068102"</f>
        <v>731068102</v>
      </c>
      <c r="E1436" t="s">
        <v>1451</v>
      </c>
      <c r="F1436" t="s">
        <v>7</v>
      </c>
      <c r="G1436">
        <v>7.0000000000000001E-3</v>
      </c>
      <c r="H1436" t="s">
        <v>11</v>
      </c>
    </row>
    <row r="1437" spans="1:8" x14ac:dyDescent="0.25">
      <c r="A1437" t="str">
        <f t="shared" si="22"/>
        <v>31-Jul-18</v>
      </c>
      <c r="B1437" t="s">
        <v>7</v>
      </c>
      <c r="C1437" t="s">
        <v>8</v>
      </c>
      <c r="D1437" t="str">
        <f>"74005P104"</f>
        <v>74005P104</v>
      </c>
      <c r="E1437" t="s">
        <v>1452</v>
      </c>
      <c r="F1437" t="s">
        <v>7</v>
      </c>
      <c r="G1437">
        <v>0.108</v>
      </c>
      <c r="H1437" t="s">
        <v>11</v>
      </c>
    </row>
    <row r="1438" spans="1:8" x14ac:dyDescent="0.25">
      <c r="A1438" t="str">
        <f t="shared" si="22"/>
        <v>31-Jul-18</v>
      </c>
      <c r="B1438" t="s">
        <v>7</v>
      </c>
      <c r="C1438" t="s">
        <v>8</v>
      </c>
      <c r="D1438" t="str">
        <f>"74251V102"</f>
        <v>74251V102</v>
      </c>
      <c r="E1438" t="s">
        <v>1453</v>
      </c>
      <c r="F1438" t="s">
        <v>7</v>
      </c>
      <c r="G1438">
        <v>3.5999999999999997E-2</v>
      </c>
      <c r="H1438" t="s">
        <v>11</v>
      </c>
    </row>
    <row r="1439" spans="1:8" x14ac:dyDescent="0.25">
      <c r="A1439" t="str">
        <f t="shared" si="22"/>
        <v>31-Jul-18</v>
      </c>
      <c r="B1439" t="s">
        <v>7</v>
      </c>
      <c r="C1439" t="s">
        <v>8</v>
      </c>
      <c r="D1439" t="str">
        <f>"742718109"</f>
        <v>742718109</v>
      </c>
      <c r="E1439" t="s">
        <v>1454</v>
      </c>
      <c r="F1439" t="s">
        <v>7</v>
      </c>
      <c r="G1439">
        <v>0.86</v>
      </c>
      <c r="H1439" t="s">
        <v>11</v>
      </c>
    </row>
    <row r="1440" spans="1:8" x14ac:dyDescent="0.25">
      <c r="A1440" t="str">
        <f t="shared" si="22"/>
        <v>31-Jul-18</v>
      </c>
      <c r="B1440" t="s">
        <v>7</v>
      </c>
      <c r="C1440" t="s">
        <v>8</v>
      </c>
      <c r="D1440" t="str">
        <f>"743315103"</f>
        <v>743315103</v>
      </c>
      <c r="E1440" t="s">
        <v>1455</v>
      </c>
      <c r="F1440" t="s">
        <v>7</v>
      </c>
      <c r="G1440">
        <v>7.9000000000000001E-2</v>
      </c>
      <c r="H1440" t="s">
        <v>11</v>
      </c>
    </row>
    <row r="1441" spans="1:8" x14ac:dyDescent="0.25">
      <c r="A1441" t="str">
        <f t="shared" si="22"/>
        <v>31-Jul-18</v>
      </c>
      <c r="B1441" t="s">
        <v>7</v>
      </c>
      <c r="C1441" t="s">
        <v>8</v>
      </c>
      <c r="D1441" t="str">
        <f>"74340W103"</f>
        <v>74340W103</v>
      </c>
      <c r="E1441" t="s">
        <v>1456</v>
      </c>
      <c r="F1441" t="s">
        <v>7</v>
      </c>
      <c r="G1441">
        <v>0.155</v>
      </c>
      <c r="H1441" t="s">
        <v>11</v>
      </c>
    </row>
    <row r="1442" spans="1:8" x14ac:dyDescent="0.25">
      <c r="A1442" t="str">
        <f t="shared" si="22"/>
        <v>31-Jul-18</v>
      </c>
      <c r="B1442" t="s">
        <v>7</v>
      </c>
      <c r="C1442" t="s">
        <v>8</v>
      </c>
      <c r="D1442" t="str">
        <f>"744320102"</f>
        <v>744320102</v>
      </c>
      <c r="E1442" t="s">
        <v>1457</v>
      </c>
      <c r="F1442" t="s">
        <v>7</v>
      </c>
      <c r="G1442">
        <v>9.2999999999999999E-2</v>
      </c>
      <c r="H1442" t="s">
        <v>11</v>
      </c>
    </row>
    <row r="1443" spans="1:8" x14ac:dyDescent="0.25">
      <c r="A1443" t="str">
        <f t="shared" si="22"/>
        <v>31-Jul-18</v>
      </c>
      <c r="B1443" t="s">
        <v>7</v>
      </c>
      <c r="C1443" t="s">
        <v>8</v>
      </c>
      <c r="D1443" t="str">
        <f>"744573106"</f>
        <v>744573106</v>
      </c>
      <c r="E1443" t="s">
        <v>1458</v>
      </c>
      <c r="F1443" t="s">
        <v>7</v>
      </c>
      <c r="G1443">
        <v>5.7000000000000002E-2</v>
      </c>
      <c r="H1443" t="s">
        <v>11</v>
      </c>
    </row>
    <row r="1444" spans="1:8" x14ac:dyDescent="0.25">
      <c r="A1444" t="str">
        <f t="shared" si="22"/>
        <v>31-Jul-18</v>
      </c>
      <c r="B1444" t="s">
        <v>7</v>
      </c>
      <c r="C1444" t="s">
        <v>8</v>
      </c>
      <c r="D1444" t="str">
        <f>"74460D109"</f>
        <v>74460D109</v>
      </c>
      <c r="E1444" t="s">
        <v>1459</v>
      </c>
      <c r="F1444" t="s">
        <v>7</v>
      </c>
      <c r="G1444">
        <v>4.1000000000000002E-2</v>
      </c>
      <c r="H1444" t="s">
        <v>11</v>
      </c>
    </row>
    <row r="1445" spans="1:8" x14ac:dyDescent="0.25">
      <c r="A1445" t="str">
        <f t="shared" si="22"/>
        <v>31-Jul-18</v>
      </c>
      <c r="B1445" t="s">
        <v>7</v>
      </c>
      <c r="C1445" t="s">
        <v>8</v>
      </c>
      <c r="D1445" t="str">
        <f>"745867101"</f>
        <v>745867101</v>
      </c>
      <c r="E1445" t="s">
        <v>1460</v>
      </c>
      <c r="F1445" t="s">
        <v>7</v>
      </c>
      <c r="G1445">
        <v>7.0000000000000001E-3</v>
      </c>
      <c r="H1445" t="s">
        <v>11</v>
      </c>
    </row>
    <row r="1446" spans="1:8" x14ac:dyDescent="0.25">
      <c r="A1446" t="str">
        <f t="shared" si="22"/>
        <v>31-Jul-18</v>
      </c>
      <c r="B1446" t="s">
        <v>7</v>
      </c>
      <c r="C1446" t="s">
        <v>8</v>
      </c>
      <c r="D1446" t="str">
        <f>"747525103"</f>
        <v>747525103</v>
      </c>
      <c r="E1446" t="s">
        <v>1461</v>
      </c>
      <c r="F1446" t="s">
        <v>7</v>
      </c>
      <c r="G1446">
        <v>0.1</v>
      </c>
      <c r="H1446" t="s">
        <v>11</v>
      </c>
    </row>
    <row r="1447" spans="1:8" x14ac:dyDescent="0.25">
      <c r="A1447" t="str">
        <f t="shared" si="22"/>
        <v>31-Jul-18</v>
      </c>
      <c r="B1447" t="s">
        <v>7</v>
      </c>
      <c r="C1447" t="s">
        <v>8</v>
      </c>
      <c r="D1447" t="str">
        <f>"74736K101"</f>
        <v>74736K101</v>
      </c>
      <c r="E1447" t="s">
        <v>1462</v>
      </c>
      <c r="F1447" t="s">
        <v>7</v>
      </c>
      <c r="G1447">
        <v>2.1000000000000001E-2</v>
      </c>
      <c r="H1447" t="s">
        <v>11</v>
      </c>
    </row>
    <row r="1448" spans="1:8" x14ac:dyDescent="0.25">
      <c r="A1448" t="str">
        <f t="shared" si="22"/>
        <v>31-Jul-18</v>
      </c>
      <c r="B1448" t="s">
        <v>7</v>
      </c>
      <c r="C1448" t="s">
        <v>8</v>
      </c>
      <c r="D1448" t="str">
        <f>"74834L100"</f>
        <v>74834L100</v>
      </c>
      <c r="E1448" t="s">
        <v>1463</v>
      </c>
      <c r="F1448" t="s">
        <v>7</v>
      </c>
      <c r="G1448">
        <v>2.5999999999999999E-2</v>
      </c>
      <c r="H1448" t="s">
        <v>11</v>
      </c>
    </row>
    <row r="1449" spans="1:8" x14ac:dyDescent="0.25">
      <c r="A1449" t="str">
        <f t="shared" si="22"/>
        <v>31-Jul-18</v>
      </c>
      <c r="B1449" t="s">
        <v>7</v>
      </c>
      <c r="C1449" t="s">
        <v>8</v>
      </c>
      <c r="D1449" t="str">
        <f>"74915M100"</f>
        <v>74915M100</v>
      </c>
      <c r="E1449" t="s">
        <v>1464</v>
      </c>
      <c r="F1449" t="s">
        <v>7</v>
      </c>
      <c r="G1449">
        <v>8.9999999999999993E-3</v>
      </c>
      <c r="H1449" t="s">
        <v>11</v>
      </c>
    </row>
    <row r="1450" spans="1:8" x14ac:dyDescent="0.25">
      <c r="A1450" t="str">
        <f t="shared" si="22"/>
        <v>31-Jul-18</v>
      </c>
      <c r="B1450" t="s">
        <v>7</v>
      </c>
      <c r="C1450" t="s">
        <v>8</v>
      </c>
      <c r="D1450" t="str">
        <f>"751212101"</f>
        <v>751212101</v>
      </c>
      <c r="E1450" t="s">
        <v>1465</v>
      </c>
      <c r="F1450" t="s">
        <v>7</v>
      </c>
      <c r="G1450">
        <v>7.0000000000000001E-3</v>
      </c>
      <c r="H1450" t="s">
        <v>11</v>
      </c>
    </row>
    <row r="1451" spans="1:8" x14ac:dyDescent="0.25">
      <c r="A1451" t="str">
        <f t="shared" si="22"/>
        <v>31-Jul-18</v>
      </c>
      <c r="B1451" t="s">
        <v>7</v>
      </c>
      <c r="C1451" t="s">
        <v>8</v>
      </c>
      <c r="D1451" t="str">
        <f>"754730109"</f>
        <v>754730109</v>
      </c>
      <c r="E1451" t="s">
        <v>1466</v>
      </c>
      <c r="F1451" t="s">
        <v>7</v>
      </c>
      <c r="G1451">
        <v>2.7E-2</v>
      </c>
      <c r="H1451" t="s">
        <v>11</v>
      </c>
    </row>
    <row r="1452" spans="1:8" x14ac:dyDescent="0.25">
      <c r="A1452" t="str">
        <f t="shared" si="22"/>
        <v>31-Jul-18</v>
      </c>
      <c r="B1452" t="s">
        <v>7</v>
      </c>
      <c r="C1452" t="s">
        <v>8</v>
      </c>
      <c r="D1452" t="str">
        <f>"756109104"</f>
        <v>756109104</v>
      </c>
      <c r="E1452" t="s">
        <v>1467</v>
      </c>
      <c r="F1452" t="s">
        <v>7</v>
      </c>
      <c r="G1452">
        <v>2.1000000000000001E-2</v>
      </c>
      <c r="H1452" t="s">
        <v>11</v>
      </c>
    </row>
    <row r="1453" spans="1:8" x14ac:dyDescent="0.25">
      <c r="A1453" t="str">
        <f t="shared" si="22"/>
        <v>31-Jul-18</v>
      </c>
      <c r="B1453" t="s">
        <v>7</v>
      </c>
      <c r="C1453" t="s">
        <v>8</v>
      </c>
      <c r="D1453" t="str">
        <f>"756577102"</f>
        <v>756577102</v>
      </c>
      <c r="E1453" t="s">
        <v>1468</v>
      </c>
      <c r="F1453" t="s">
        <v>7</v>
      </c>
      <c r="G1453">
        <v>5.2999999999999999E-2</v>
      </c>
      <c r="H1453" t="s">
        <v>11</v>
      </c>
    </row>
    <row r="1454" spans="1:8" x14ac:dyDescent="0.25">
      <c r="A1454" t="str">
        <f t="shared" si="22"/>
        <v>31-Jul-18</v>
      </c>
      <c r="B1454" t="s">
        <v>7</v>
      </c>
      <c r="C1454" t="s">
        <v>8</v>
      </c>
      <c r="D1454" t="str">
        <f>"758849103"</f>
        <v>758849103</v>
      </c>
      <c r="E1454" t="s">
        <v>1469</v>
      </c>
      <c r="F1454" t="s">
        <v>7</v>
      </c>
      <c r="G1454">
        <v>1.7000000000000001E-2</v>
      </c>
      <c r="H1454" t="s">
        <v>11</v>
      </c>
    </row>
    <row r="1455" spans="1:8" x14ac:dyDescent="0.25">
      <c r="A1455" t="str">
        <f t="shared" si="22"/>
        <v>31-Jul-18</v>
      </c>
      <c r="B1455" t="s">
        <v>7</v>
      </c>
      <c r="C1455" t="s">
        <v>8</v>
      </c>
      <c r="D1455" t="str">
        <f>"75886F107"</f>
        <v>75886F107</v>
      </c>
      <c r="E1455" t="s">
        <v>1470</v>
      </c>
      <c r="F1455" t="s">
        <v>7</v>
      </c>
      <c r="G1455">
        <v>3.5000000000000003E-2</v>
      </c>
      <c r="H1455" t="s">
        <v>11</v>
      </c>
    </row>
    <row r="1456" spans="1:8" x14ac:dyDescent="0.25">
      <c r="A1456" t="str">
        <f t="shared" si="22"/>
        <v>31-Jul-18</v>
      </c>
      <c r="B1456" t="s">
        <v>7</v>
      </c>
      <c r="C1456" t="s">
        <v>8</v>
      </c>
      <c r="D1456" t="str">
        <f>"7591EP100"</f>
        <v>7591EP100</v>
      </c>
      <c r="E1456" t="s">
        <v>1471</v>
      </c>
      <c r="F1456" t="s">
        <v>7</v>
      </c>
      <c r="G1456">
        <v>0.06</v>
      </c>
      <c r="H1456" t="s">
        <v>11</v>
      </c>
    </row>
    <row r="1457" spans="1:8" x14ac:dyDescent="0.25">
      <c r="A1457" t="str">
        <f t="shared" si="22"/>
        <v>31-Jul-18</v>
      </c>
      <c r="B1457" t="s">
        <v>7</v>
      </c>
      <c r="C1457" t="s">
        <v>8</v>
      </c>
      <c r="D1457" t="str">
        <f>"759351604"</f>
        <v>759351604</v>
      </c>
      <c r="E1457" t="s">
        <v>1472</v>
      </c>
      <c r="F1457" t="s">
        <v>7</v>
      </c>
      <c r="G1457">
        <v>1.7000000000000001E-2</v>
      </c>
      <c r="H1457" t="s">
        <v>11</v>
      </c>
    </row>
    <row r="1458" spans="1:8" x14ac:dyDescent="0.25">
      <c r="A1458" t="str">
        <f t="shared" si="22"/>
        <v>31-Jul-18</v>
      </c>
      <c r="B1458" t="s">
        <v>7</v>
      </c>
      <c r="C1458" t="s">
        <v>8</v>
      </c>
      <c r="D1458" t="str">
        <f>"G7496G103"</f>
        <v>G7496G103</v>
      </c>
      <c r="E1458" t="s">
        <v>1473</v>
      </c>
      <c r="F1458" t="s">
        <v>7</v>
      </c>
      <c r="G1458">
        <v>5.0000000000000001E-3</v>
      </c>
      <c r="H1458" t="s">
        <v>11</v>
      </c>
    </row>
    <row r="1459" spans="1:8" x14ac:dyDescent="0.25">
      <c r="A1459" t="str">
        <f t="shared" si="22"/>
        <v>31-Jul-18</v>
      </c>
      <c r="B1459" t="s">
        <v>7</v>
      </c>
      <c r="C1459" t="s">
        <v>8</v>
      </c>
      <c r="D1459" t="str">
        <f>"760759100"</f>
        <v>760759100</v>
      </c>
      <c r="E1459" t="s">
        <v>1474</v>
      </c>
      <c r="F1459" t="s">
        <v>7</v>
      </c>
      <c r="G1459">
        <v>3.4000000000000002E-2</v>
      </c>
      <c r="H1459" t="s">
        <v>11</v>
      </c>
    </row>
    <row r="1460" spans="1:8" x14ac:dyDescent="0.25">
      <c r="A1460" t="str">
        <f t="shared" si="22"/>
        <v>31-Jul-18</v>
      </c>
      <c r="B1460" t="s">
        <v>7</v>
      </c>
      <c r="C1460" t="s">
        <v>8</v>
      </c>
      <c r="D1460" t="str">
        <f>"761152107"</f>
        <v>761152107</v>
      </c>
      <c r="E1460" t="s">
        <v>1475</v>
      </c>
      <c r="F1460" t="s">
        <v>7</v>
      </c>
      <c r="G1460">
        <v>3.4000000000000002E-2</v>
      </c>
      <c r="H1460" t="s">
        <v>11</v>
      </c>
    </row>
    <row r="1461" spans="1:8" x14ac:dyDescent="0.25">
      <c r="A1461" t="str">
        <f t="shared" si="22"/>
        <v>31-Jul-18</v>
      </c>
      <c r="B1461" t="s">
        <v>7</v>
      </c>
      <c r="C1461" t="s">
        <v>8</v>
      </c>
      <c r="D1461" t="str">
        <f>"770323103"</f>
        <v>770323103</v>
      </c>
      <c r="E1461" t="s">
        <v>1476</v>
      </c>
      <c r="F1461" t="s">
        <v>7</v>
      </c>
      <c r="G1461">
        <v>1.9E-2</v>
      </c>
      <c r="H1461" t="s">
        <v>11</v>
      </c>
    </row>
    <row r="1462" spans="1:8" x14ac:dyDescent="0.25">
      <c r="A1462" t="str">
        <f t="shared" si="22"/>
        <v>31-Jul-18</v>
      </c>
      <c r="B1462" t="s">
        <v>7</v>
      </c>
      <c r="C1462" t="s">
        <v>8</v>
      </c>
      <c r="D1462" t="str">
        <f>"773903109"</f>
        <v>773903109</v>
      </c>
      <c r="E1462" t="s">
        <v>1477</v>
      </c>
      <c r="F1462" t="s">
        <v>7</v>
      </c>
      <c r="G1462">
        <v>5.6000000000000001E-2</v>
      </c>
      <c r="H1462" t="s">
        <v>11</v>
      </c>
    </row>
    <row r="1463" spans="1:8" x14ac:dyDescent="0.25">
      <c r="A1463" t="str">
        <f t="shared" si="22"/>
        <v>31-Jul-18</v>
      </c>
      <c r="B1463" t="s">
        <v>7</v>
      </c>
      <c r="C1463" t="s">
        <v>8</v>
      </c>
      <c r="D1463" t="str">
        <f>"774341101"</f>
        <v>774341101</v>
      </c>
      <c r="E1463" t="s">
        <v>1478</v>
      </c>
      <c r="F1463" t="s">
        <v>7</v>
      </c>
      <c r="G1463">
        <v>0.128</v>
      </c>
      <c r="H1463" t="s">
        <v>11</v>
      </c>
    </row>
    <row r="1464" spans="1:8" x14ac:dyDescent="0.25">
      <c r="A1464" t="str">
        <f t="shared" si="22"/>
        <v>31-Jul-18</v>
      </c>
      <c r="B1464" t="s">
        <v>7</v>
      </c>
      <c r="C1464" t="s">
        <v>8</v>
      </c>
      <c r="D1464" t="str">
        <f>"775711104"</f>
        <v>775711104</v>
      </c>
      <c r="E1464" t="s">
        <v>1479</v>
      </c>
      <c r="F1464" t="s">
        <v>7</v>
      </c>
      <c r="G1464">
        <v>1.7000000000000001E-2</v>
      </c>
      <c r="H1464" t="s">
        <v>11</v>
      </c>
    </row>
    <row r="1465" spans="1:8" x14ac:dyDescent="0.25">
      <c r="A1465" t="str">
        <f t="shared" si="22"/>
        <v>31-Jul-18</v>
      </c>
      <c r="B1465" t="s">
        <v>7</v>
      </c>
      <c r="C1465" t="s">
        <v>8</v>
      </c>
      <c r="D1465" t="str">
        <f>"776696106"</f>
        <v>776696106</v>
      </c>
      <c r="E1465" t="s">
        <v>1480</v>
      </c>
      <c r="F1465" t="s">
        <v>7</v>
      </c>
      <c r="G1465">
        <v>9.8000000000000004E-2</v>
      </c>
      <c r="H1465" t="s">
        <v>11</v>
      </c>
    </row>
    <row r="1466" spans="1:8" x14ac:dyDescent="0.25">
      <c r="A1466" t="str">
        <f t="shared" si="22"/>
        <v>31-Jul-18</v>
      </c>
      <c r="B1466" t="s">
        <v>7</v>
      </c>
      <c r="C1466" t="s">
        <v>8</v>
      </c>
      <c r="D1466" t="str">
        <f>"778296103"</f>
        <v>778296103</v>
      </c>
      <c r="E1466" t="s">
        <v>1481</v>
      </c>
      <c r="F1466" t="s">
        <v>7</v>
      </c>
      <c r="G1466">
        <v>7.1999999999999995E-2</v>
      </c>
      <c r="H1466" t="s">
        <v>11</v>
      </c>
    </row>
    <row r="1467" spans="1:8" x14ac:dyDescent="0.25">
      <c r="A1467" t="str">
        <f t="shared" si="22"/>
        <v>31-Jul-18</v>
      </c>
      <c r="B1467" t="s">
        <v>7</v>
      </c>
      <c r="C1467" t="s">
        <v>8</v>
      </c>
      <c r="D1467" t="str">
        <f>"V7780T103"</f>
        <v>V7780T103</v>
      </c>
      <c r="E1467" t="s">
        <v>1482</v>
      </c>
      <c r="F1467" t="s">
        <v>7</v>
      </c>
      <c r="G1467">
        <v>4.3999999999999997E-2</v>
      </c>
      <c r="H1467" t="s">
        <v>11</v>
      </c>
    </row>
    <row r="1468" spans="1:8" x14ac:dyDescent="0.25">
      <c r="A1468" t="str">
        <f t="shared" si="22"/>
        <v>31-Jul-18</v>
      </c>
      <c r="B1468" t="s">
        <v>7</v>
      </c>
      <c r="C1468" t="s">
        <v>8</v>
      </c>
      <c r="D1468" t="str">
        <f>"78409V104"</f>
        <v>78409V104</v>
      </c>
      <c r="E1468" t="s">
        <v>1483</v>
      </c>
      <c r="F1468" t="s">
        <v>7</v>
      </c>
      <c r="G1468">
        <v>0.11899999999999999</v>
      </c>
      <c r="H1468" t="s">
        <v>11</v>
      </c>
    </row>
    <row r="1469" spans="1:8" x14ac:dyDescent="0.25">
      <c r="A1469" t="str">
        <f t="shared" si="22"/>
        <v>31-Jul-18</v>
      </c>
      <c r="B1469" t="s">
        <v>7</v>
      </c>
      <c r="C1469" t="s">
        <v>8</v>
      </c>
      <c r="D1469" t="str">
        <f>"78410G104"</f>
        <v>78410G104</v>
      </c>
      <c r="E1469" t="s">
        <v>1484</v>
      </c>
      <c r="F1469" t="s">
        <v>7</v>
      </c>
      <c r="G1469">
        <v>4.1000000000000002E-2</v>
      </c>
      <c r="H1469" t="s">
        <v>11</v>
      </c>
    </row>
    <row r="1470" spans="1:8" x14ac:dyDescent="0.25">
      <c r="A1470" t="str">
        <f t="shared" si="22"/>
        <v>31-Jul-18</v>
      </c>
      <c r="B1470" t="s">
        <v>7</v>
      </c>
      <c r="C1470" t="s">
        <v>8</v>
      </c>
      <c r="D1470" t="str">
        <f>"80589M102"</f>
        <v>80589M102</v>
      </c>
      <c r="E1470" t="s">
        <v>1485</v>
      </c>
      <c r="F1470" t="s">
        <v>7</v>
      </c>
      <c r="G1470">
        <v>1.0999999999999999E-2</v>
      </c>
      <c r="H1470" t="s">
        <v>11</v>
      </c>
    </row>
    <row r="1471" spans="1:8" x14ac:dyDescent="0.25">
      <c r="A1471" t="str">
        <f t="shared" si="22"/>
        <v>31-Jul-18</v>
      </c>
      <c r="B1471" t="s">
        <v>7</v>
      </c>
      <c r="C1471" t="s">
        <v>8</v>
      </c>
      <c r="D1471" t="str">
        <f>"784117103"</f>
        <v>784117103</v>
      </c>
      <c r="E1471" t="s">
        <v>1486</v>
      </c>
      <c r="F1471" t="s">
        <v>7</v>
      </c>
      <c r="G1471">
        <v>1.4E-2</v>
      </c>
      <c r="H1471" t="s">
        <v>11</v>
      </c>
    </row>
    <row r="1472" spans="1:8" x14ac:dyDescent="0.25">
      <c r="A1472" t="str">
        <f t="shared" si="22"/>
        <v>31-Jul-18</v>
      </c>
      <c r="B1472" t="s">
        <v>7</v>
      </c>
      <c r="C1472" t="s">
        <v>8</v>
      </c>
      <c r="D1472" t="str">
        <f>"78440X101"</f>
        <v>78440X101</v>
      </c>
      <c r="E1472" t="s">
        <v>1487</v>
      </c>
      <c r="F1472" t="s">
        <v>7</v>
      </c>
      <c r="G1472">
        <v>2.1999999999999999E-2</v>
      </c>
      <c r="H1472" t="s">
        <v>11</v>
      </c>
    </row>
    <row r="1473" spans="1:8" x14ac:dyDescent="0.25">
      <c r="A1473" t="str">
        <f t="shared" si="22"/>
        <v>31-Jul-18</v>
      </c>
      <c r="B1473" t="s">
        <v>7</v>
      </c>
      <c r="C1473" t="s">
        <v>8</v>
      </c>
      <c r="D1473" t="str">
        <f>"78467J100"</f>
        <v>78467J100</v>
      </c>
      <c r="E1473" t="s">
        <v>1488</v>
      </c>
      <c r="F1473" t="s">
        <v>7</v>
      </c>
      <c r="G1473">
        <v>0.02</v>
      </c>
      <c r="H1473" t="s">
        <v>11</v>
      </c>
    </row>
    <row r="1474" spans="1:8" x14ac:dyDescent="0.25">
      <c r="A1474" t="str">
        <f t="shared" ref="A1474:A1537" si="23">"31-Jul-18"</f>
        <v>31-Jul-18</v>
      </c>
      <c r="B1474" t="s">
        <v>7</v>
      </c>
      <c r="C1474" t="s">
        <v>8</v>
      </c>
      <c r="D1474" t="str">
        <f>"78486Q101"</f>
        <v>78486Q101</v>
      </c>
      <c r="E1474" t="s">
        <v>1489</v>
      </c>
      <c r="F1474" t="s">
        <v>7</v>
      </c>
      <c r="G1474">
        <v>3.3000000000000002E-2</v>
      </c>
      <c r="H1474" t="s">
        <v>11</v>
      </c>
    </row>
    <row r="1475" spans="1:8" x14ac:dyDescent="0.25">
      <c r="A1475" t="str">
        <f t="shared" si="23"/>
        <v>31-Jul-18</v>
      </c>
      <c r="B1475" t="s">
        <v>7</v>
      </c>
      <c r="C1475" t="s">
        <v>8</v>
      </c>
      <c r="D1475" t="str">
        <f>"78573M104"</f>
        <v>78573M104</v>
      </c>
      <c r="E1475" t="s">
        <v>1490</v>
      </c>
      <c r="F1475" t="s">
        <v>7</v>
      </c>
      <c r="G1475">
        <v>7.0000000000000001E-3</v>
      </c>
      <c r="H1475" t="s">
        <v>11</v>
      </c>
    </row>
    <row r="1476" spans="1:8" x14ac:dyDescent="0.25">
      <c r="A1476" t="str">
        <f t="shared" si="23"/>
        <v>31-Jul-18</v>
      </c>
      <c r="B1476" t="s">
        <v>7</v>
      </c>
      <c r="C1476" t="s">
        <v>8</v>
      </c>
      <c r="D1476" t="str">
        <f>"806857108"</f>
        <v>806857108</v>
      </c>
      <c r="E1476" t="s">
        <v>1491</v>
      </c>
      <c r="F1476" t="s">
        <v>7</v>
      </c>
      <c r="G1476">
        <v>0.19700000000000001</v>
      </c>
      <c r="H1476" t="s">
        <v>11</v>
      </c>
    </row>
    <row r="1477" spans="1:8" x14ac:dyDescent="0.25">
      <c r="A1477" t="str">
        <f t="shared" si="23"/>
        <v>31-Jul-18</v>
      </c>
      <c r="B1477" t="s">
        <v>7</v>
      </c>
      <c r="C1477" t="s">
        <v>8</v>
      </c>
      <c r="D1477" t="str">
        <f>"G7945M107"</f>
        <v>G7945M107</v>
      </c>
      <c r="E1477" t="s">
        <v>1492</v>
      </c>
      <c r="F1477" t="s">
        <v>7</v>
      </c>
      <c r="G1477">
        <v>3.3000000000000002E-2</v>
      </c>
      <c r="H1477" t="s">
        <v>11</v>
      </c>
    </row>
    <row r="1478" spans="1:8" x14ac:dyDescent="0.25">
      <c r="A1478" t="str">
        <f t="shared" si="23"/>
        <v>31-Jul-18</v>
      </c>
      <c r="B1478" t="s">
        <v>7</v>
      </c>
      <c r="C1478" t="s">
        <v>8</v>
      </c>
      <c r="D1478" t="str">
        <f>"81211K100"</f>
        <v>81211K100</v>
      </c>
      <c r="E1478" t="s">
        <v>1493</v>
      </c>
      <c r="F1478" t="s">
        <v>7</v>
      </c>
      <c r="G1478">
        <v>1.7000000000000001E-2</v>
      </c>
      <c r="H1478" t="s">
        <v>11</v>
      </c>
    </row>
    <row r="1479" spans="1:8" x14ac:dyDescent="0.25">
      <c r="A1479" t="str">
        <f t="shared" si="23"/>
        <v>31-Jul-18</v>
      </c>
      <c r="B1479" t="s">
        <v>7</v>
      </c>
      <c r="C1479" t="s">
        <v>8</v>
      </c>
      <c r="D1479" t="str">
        <f>"812578102"</f>
        <v>812578102</v>
      </c>
      <c r="E1479" t="s">
        <v>1494</v>
      </c>
      <c r="F1479" t="s">
        <v>7</v>
      </c>
      <c r="G1479">
        <v>8.0000000000000002E-3</v>
      </c>
      <c r="H1479" t="s">
        <v>11</v>
      </c>
    </row>
    <row r="1480" spans="1:8" x14ac:dyDescent="0.25">
      <c r="A1480" t="str">
        <f t="shared" si="23"/>
        <v>31-Jul-18</v>
      </c>
      <c r="B1480" t="s">
        <v>7</v>
      </c>
      <c r="C1480" t="s">
        <v>8</v>
      </c>
      <c r="D1480" t="str">
        <f>"816851109"</f>
        <v>816851109</v>
      </c>
      <c r="E1480" t="s">
        <v>1495</v>
      </c>
      <c r="F1480" t="s">
        <v>7</v>
      </c>
      <c r="G1480">
        <v>0.11899999999999999</v>
      </c>
      <c r="H1480" t="s">
        <v>11</v>
      </c>
    </row>
    <row r="1481" spans="1:8" x14ac:dyDescent="0.25">
      <c r="A1481" t="str">
        <f t="shared" si="23"/>
        <v>31-Jul-18</v>
      </c>
      <c r="B1481" t="s">
        <v>7</v>
      </c>
      <c r="C1481" t="s">
        <v>8</v>
      </c>
      <c r="D1481" t="str">
        <f>"G8060N102"</f>
        <v>G8060N102</v>
      </c>
      <c r="E1481" t="s">
        <v>1496</v>
      </c>
      <c r="F1481" t="s">
        <v>7</v>
      </c>
      <c r="G1481">
        <v>2.4E-2</v>
      </c>
      <c r="H1481" t="s">
        <v>11</v>
      </c>
    </row>
    <row r="1482" spans="1:8" x14ac:dyDescent="0.25">
      <c r="A1482" t="str">
        <f t="shared" si="23"/>
        <v>31-Jul-18</v>
      </c>
      <c r="B1482" t="s">
        <v>7</v>
      </c>
      <c r="C1482" t="s">
        <v>8</v>
      </c>
      <c r="D1482" t="str">
        <f>"81762P102"</f>
        <v>81762P102</v>
      </c>
      <c r="E1482" t="s">
        <v>1497</v>
      </c>
      <c r="F1482" t="s">
        <v>7</v>
      </c>
      <c r="G1482">
        <v>6.2E-2</v>
      </c>
      <c r="H1482" t="s">
        <v>11</v>
      </c>
    </row>
    <row r="1483" spans="1:8" x14ac:dyDescent="0.25">
      <c r="A1483" t="str">
        <f t="shared" si="23"/>
        <v>31-Jul-18</v>
      </c>
      <c r="B1483" t="s">
        <v>7</v>
      </c>
      <c r="C1483" t="s">
        <v>8</v>
      </c>
      <c r="D1483" t="str">
        <f>"824348106"</f>
        <v>824348106</v>
      </c>
      <c r="E1483" t="s">
        <v>1498</v>
      </c>
      <c r="F1483" t="s">
        <v>7</v>
      </c>
      <c r="G1483">
        <v>7.6999999999999999E-2</v>
      </c>
      <c r="H1483" t="s">
        <v>11</v>
      </c>
    </row>
    <row r="1484" spans="1:8" x14ac:dyDescent="0.25">
      <c r="A1484" t="str">
        <f t="shared" si="23"/>
        <v>31-Jul-18</v>
      </c>
      <c r="B1484" t="s">
        <v>7</v>
      </c>
      <c r="C1484" t="s">
        <v>8</v>
      </c>
      <c r="D1484" t="str">
        <f>"82669G104"</f>
        <v>82669G104</v>
      </c>
      <c r="E1484" t="s">
        <v>1499</v>
      </c>
      <c r="F1484" t="s">
        <v>7</v>
      </c>
      <c r="G1484">
        <v>8.9999999999999993E-3</v>
      </c>
      <c r="H1484" t="s">
        <v>11</v>
      </c>
    </row>
    <row r="1485" spans="1:8" x14ac:dyDescent="0.25">
      <c r="A1485" t="str">
        <f t="shared" si="23"/>
        <v>31-Jul-18</v>
      </c>
      <c r="B1485" t="s">
        <v>7</v>
      </c>
      <c r="C1485" t="s">
        <v>8</v>
      </c>
      <c r="D1485" t="str">
        <f>"828806109"</f>
        <v>828806109</v>
      </c>
      <c r="E1485" t="s">
        <v>1500</v>
      </c>
      <c r="F1485" t="s">
        <v>7</v>
      </c>
      <c r="G1485">
        <v>0.121</v>
      </c>
      <c r="H1485" t="s">
        <v>11</v>
      </c>
    </row>
    <row r="1486" spans="1:8" x14ac:dyDescent="0.25">
      <c r="A1486" t="str">
        <f t="shared" si="23"/>
        <v>31-Jul-18</v>
      </c>
      <c r="B1486" t="s">
        <v>7</v>
      </c>
      <c r="C1486" t="s">
        <v>8</v>
      </c>
      <c r="D1486" t="str">
        <f>"82968B103"</f>
        <v>82968B103</v>
      </c>
      <c r="E1486" t="s">
        <v>1501</v>
      </c>
      <c r="F1486" t="s">
        <v>7</v>
      </c>
      <c r="G1486">
        <v>2.9000000000000001E-2</v>
      </c>
      <c r="H1486" t="s">
        <v>11</v>
      </c>
    </row>
    <row r="1487" spans="1:8" x14ac:dyDescent="0.25">
      <c r="A1487" t="str">
        <f t="shared" si="23"/>
        <v>31-Jul-18</v>
      </c>
      <c r="B1487" t="s">
        <v>7</v>
      </c>
      <c r="C1487" t="s">
        <v>8</v>
      </c>
      <c r="D1487" t="str">
        <f>"83088M102"</f>
        <v>83088M102</v>
      </c>
      <c r="E1487" t="s">
        <v>1502</v>
      </c>
      <c r="F1487" t="s">
        <v>7</v>
      </c>
      <c r="G1487">
        <v>3.6999999999999998E-2</v>
      </c>
      <c r="H1487" t="s">
        <v>11</v>
      </c>
    </row>
    <row r="1488" spans="1:8" x14ac:dyDescent="0.25">
      <c r="A1488" t="str">
        <f t="shared" si="23"/>
        <v>31-Jul-18</v>
      </c>
      <c r="B1488" t="s">
        <v>7</v>
      </c>
      <c r="C1488" t="s">
        <v>8</v>
      </c>
      <c r="D1488" t="str">
        <f>"833034101"</f>
        <v>833034101</v>
      </c>
      <c r="E1488" t="s">
        <v>1503</v>
      </c>
      <c r="F1488" t="s">
        <v>7</v>
      </c>
      <c r="G1488">
        <v>2.1000000000000001E-2</v>
      </c>
      <c r="H1488" t="s">
        <v>11</v>
      </c>
    </row>
    <row r="1489" spans="1:8" x14ac:dyDescent="0.25">
      <c r="A1489" t="str">
        <f t="shared" si="23"/>
        <v>31-Jul-18</v>
      </c>
      <c r="B1489" t="s">
        <v>7</v>
      </c>
      <c r="C1489" t="s">
        <v>8</v>
      </c>
      <c r="D1489" t="str">
        <f>"842587107"</f>
        <v>842587107</v>
      </c>
      <c r="E1489" t="s">
        <v>1504</v>
      </c>
      <c r="F1489" t="s">
        <v>7</v>
      </c>
      <c r="G1489">
        <v>0.109</v>
      </c>
      <c r="H1489" t="s">
        <v>11</v>
      </c>
    </row>
    <row r="1490" spans="1:8" x14ac:dyDescent="0.25">
      <c r="A1490" t="str">
        <f t="shared" si="23"/>
        <v>31-Jul-18</v>
      </c>
      <c r="B1490" t="s">
        <v>7</v>
      </c>
      <c r="C1490" t="s">
        <v>8</v>
      </c>
      <c r="D1490" t="str">
        <f>"844741108"</f>
        <v>844741108</v>
      </c>
      <c r="E1490" t="s">
        <v>1505</v>
      </c>
      <c r="F1490" t="s">
        <v>7</v>
      </c>
      <c r="G1490">
        <v>1.9E-2</v>
      </c>
      <c r="H1490" t="s">
        <v>11</v>
      </c>
    </row>
    <row r="1491" spans="1:8" x14ac:dyDescent="0.25">
      <c r="A1491" t="str">
        <f t="shared" si="23"/>
        <v>31-Jul-18</v>
      </c>
      <c r="B1491" t="s">
        <v>7</v>
      </c>
      <c r="C1491" t="s">
        <v>8</v>
      </c>
      <c r="D1491" t="str">
        <f>"848574109"</f>
        <v>848574109</v>
      </c>
      <c r="E1491" t="s">
        <v>1506</v>
      </c>
      <c r="F1491" t="s">
        <v>7</v>
      </c>
      <c r="G1491">
        <v>3.7999999999999999E-2</v>
      </c>
      <c r="H1491" t="s">
        <v>11</v>
      </c>
    </row>
    <row r="1492" spans="1:8" x14ac:dyDescent="0.25">
      <c r="A1492" t="str">
        <f t="shared" si="23"/>
        <v>31-Jul-18</v>
      </c>
      <c r="B1492" t="s">
        <v>7</v>
      </c>
      <c r="C1492" t="s">
        <v>8</v>
      </c>
      <c r="D1492" t="str">
        <f>"848637104"</f>
        <v>848637104</v>
      </c>
      <c r="E1492" t="s">
        <v>1507</v>
      </c>
      <c r="F1492" t="s">
        <v>7</v>
      </c>
      <c r="G1492">
        <v>3.5000000000000003E-2</v>
      </c>
      <c r="H1492" t="s">
        <v>11</v>
      </c>
    </row>
    <row r="1493" spans="1:8" x14ac:dyDescent="0.25">
      <c r="A1493" t="str">
        <f t="shared" si="23"/>
        <v>31-Jul-18</v>
      </c>
      <c r="B1493" t="s">
        <v>7</v>
      </c>
      <c r="C1493" t="s">
        <v>8</v>
      </c>
      <c r="D1493" t="str">
        <f>"85207U105"</f>
        <v>85207U105</v>
      </c>
      <c r="E1493" t="s">
        <v>1508</v>
      </c>
      <c r="F1493" t="s">
        <v>7</v>
      </c>
      <c r="G1493">
        <v>0.01</v>
      </c>
      <c r="H1493" t="s">
        <v>11</v>
      </c>
    </row>
    <row r="1494" spans="1:8" x14ac:dyDescent="0.25">
      <c r="A1494" t="str">
        <f t="shared" si="23"/>
        <v>31-Jul-18</v>
      </c>
      <c r="B1494" t="s">
        <v>7</v>
      </c>
      <c r="C1494" t="s">
        <v>8</v>
      </c>
      <c r="D1494" t="str">
        <f>"852234103"</f>
        <v>852234103</v>
      </c>
      <c r="E1494" t="s">
        <v>1509</v>
      </c>
      <c r="F1494" t="s">
        <v>7</v>
      </c>
      <c r="G1494">
        <v>2.9000000000000001E-2</v>
      </c>
      <c r="H1494" t="s">
        <v>11</v>
      </c>
    </row>
    <row r="1495" spans="1:8" x14ac:dyDescent="0.25">
      <c r="A1495" t="str">
        <f t="shared" si="23"/>
        <v>31-Jul-18</v>
      </c>
      <c r="B1495" t="s">
        <v>7</v>
      </c>
      <c r="C1495" t="s">
        <v>8</v>
      </c>
      <c r="D1495" t="str">
        <f>"854502101"</f>
        <v>854502101</v>
      </c>
      <c r="E1495" t="s">
        <v>1510</v>
      </c>
      <c r="F1495" t="s">
        <v>7</v>
      </c>
      <c r="G1495">
        <v>6.4000000000000001E-2</v>
      </c>
      <c r="H1495" t="s">
        <v>11</v>
      </c>
    </row>
    <row r="1496" spans="1:8" x14ac:dyDescent="0.25">
      <c r="A1496" t="str">
        <f t="shared" si="23"/>
        <v>31-Jul-18</v>
      </c>
      <c r="B1496" t="s">
        <v>7</v>
      </c>
      <c r="C1496" t="s">
        <v>8</v>
      </c>
      <c r="D1496" t="str">
        <f>"855244109"</f>
        <v>855244109</v>
      </c>
      <c r="E1496" t="s">
        <v>1511</v>
      </c>
      <c r="F1496" t="s">
        <v>7</v>
      </c>
      <c r="G1496">
        <v>0.16300000000000001</v>
      </c>
      <c r="H1496" t="s">
        <v>11</v>
      </c>
    </row>
    <row r="1497" spans="1:8" x14ac:dyDescent="0.25">
      <c r="A1497" t="str">
        <f t="shared" si="23"/>
        <v>31-Jul-18</v>
      </c>
      <c r="B1497" t="s">
        <v>7</v>
      </c>
      <c r="C1497" t="s">
        <v>8</v>
      </c>
      <c r="D1497" t="str">
        <f>"857477103"</f>
        <v>857477103</v>
      </c>
      <c r="E1497" t="s">
        <v>1512</v>
      </c>
      <c r="F1497" t="s">
        <v>7</v>
      </c>
      <c r="G1497">
        <v>0.14399999999999999</v>
      </c>
      <c r="H1497" t="s">
        <v>11</v>
      </c>
    </row>
    <row r="1498" spans="1:8" x14ac:dyDescent="0.25">
      <c r="A1498" t="str">
        <f t="shared" si="23"/>
        <v>31-Jul-18</v>
      </c>
      <c r="B1498" t="s">
        <v>7</v>
      </c>
      <c r="C1498" t="s">
        <v>8</v>
      </c>
      <c r="D1498" t="str">
        <f>"858119100"</f>
        <v>858119100</v>
      </c>
      <c r="E1498" t="s">
        <v>1513</v>
      </c>
      <c r="F1498" t="s">
        <v>7</v>
      </c>
      <c r="G1498">
        <v>2.5000000000000001E-2</v>
      </c>
      <c r="H1498" t="s">
        <v>11</v>
      </c>
    </row>
    <row r="1499" spans="1:8" x14ac:dyDescent="0.25">
      <c r="A1499" t="str">
        <f t="shared" si="23"/>
        <v>31-Jul-18</v>
      </c>
      <c r="B1499" t="s">
        <v>7</v>
      </c>
      <c r="C1499" t="s">
        <v>8</v>
      </c>
      <c r="D1499" t="str">
        <f>"858912108"</f>
        <v>858912108</v>
      </c>
      <c r="E1499" t="s">
        <v>1514</v>
      </c>
      <c r="F1499" t="s">
        <v>7</v>
      </c>
      <c r="G1499">
        <v>8.0000000000000002E-3</v>
      </c>
      <c r="H1499" t="s">
        <v>11</v>
      </c>
    </row>
    <row r="1500" spans="1:8" x14ac:dyDescent="0.25">
      <c r="A1500" t="str">
        <f t="shared" si="23"/>
        <v>31-Jul-18</v>
      </c>
      <c r="B1500" t="s">
        <v>7</v>
      </c>
      <c r="C1500" t="s">
        <v>8</v>
      </c>
      <c r="D1500" t="str">
        <f>"863667101"</f>
        <v>863667101</v>
      </c>
      <c r="E1500" t="s">
        <v>1515</v>
      </c>
      <c r="F1500" t="s">
        <v>7</v>
      </c>
      <c r="G1500">
        <v>6.8000000000000005E-2</v>
      </c>
      <c r="H1500" t="s">
        <v>11</v>
      </c>
    </row>
    <row r="1501" spans="1:8" x14ac:dyDescent="0.25">
      <c r="A1501" t="str">
        <f t="shared" si="23"/>
        <v>31-Jul-18</v>
      </c>
      <c r="B1501" t="s">
        <v>7</v>
      </c>
      <c r="C1501" t="s">
        <v>8</v>
      </c>
      <c r="D1501" t="str">
        <f>"867914103"</f>
        <v>867914103</v>
      </c>
      <c r="E1501" t="s">
        <v>1516</v>
      </c>
      <c r="F1501" t="s">
        <v>7</v>
      </c>
      <c r="G1501">
        <v>8.3000000000000004E-2</v>
      </c>
      <c r="H1501" t="s">
        <v>11</v>
      </c>
    </row>
    <row r="1502" spans="1:8" x14ac:dyDescent="0.25">
      <c r="A1502" t="str">
        <f t="shared" si="23"/>
        <v>31-Jul-18</v>
      </c>
      <c r="B1502" t="s">
        <v>7</v>
      </c>
      <c r="C1502" t="s">
        <v>8</v>
      </c>
      <c r="D1502" t="str">
        <f>"871503108"</f>
        <v>871503108</v>
      </c>
      <c r="E1502" t="s">
        <v>1517</v>
      </c>
      <c r="F1502" t="s">
        <v>7</v>
      </c>
      <c r="G1502">
        <v>2.5999999999999999E-2</v>
      </c>
      <c r="H1502" t="s">
        <v>11</v>
      </c>
    </row>
    <row r="1503" spans="1:8" x14ac:dyDescent="0.25">
      <c r="A1503" t="str">
        <f t="shared" si="23"/>
        <v>31-Jul-18</v>
      </c>
      <c r="B1503" t="s">
        <v>7</v>
      </c>
      <c r="C1503" t="s">
        <v>8</v>
      </c>
      <c r="D1503" t="str">
        <f>"87165B103"</f>
        <v>87165B103</v>
      </c>
      <c r="E1503" t="s">
        <v>1518</v>
      </c>
      <c r="F1503" t="s">
        <v>7</v>
      </c>
      <c r="G1503">
        <v>2.9000000000000001E-2</v>
      </c>
      <c r="H1503" t="s">
        <v>11</v>
      </c>
    </row>
    <row r="1504" spans="1:8" x14ac:dyDescent="0.25">
      <c r="A1504" t="str">
        <f t="shared" si="23"/>
        <v>31-Jul-18</v>
      </c>
      <c r="B1504" t="s">
        <v>7</v>
      </c>
      <c r="C1504" t="s">
        <v>8</v>
      </c>
      <c r="D1504" t="str">
        <f>"871607107"</f>
        <v>871607107</v>
      </c>
      <c r="E1504" t="s">
        <v>1519</v>
      </c>
      <c r="F1504" t="s">
        <v>7</v>
      </c>
      <c r="G1504">
        <v>2.9000000000000001E-2</v>
      </c>
      <c r="H1504" t="s">
        <v>11</v>
      </c>
    </row>
    <row r="1505" spans="1:8" x14ac:dyDescent="0.25">
      <c r="A1505" t="str">
        <f t="shared" si="23"/>
        <v>31-Jul-18</v>
      </c>
      <c r="B1505" t="s">
        <v>7</v>
      </c>
      <c r="C1505" t="s">
        <v>8</v>
      </c>
      <c r="D1505" t="str">
        <f>"871829107"</f>
        <v>871829107</v>
      </c>
      <c r="E1505" t="s">
        <v>1520</v>
      </c>
      <c r="F1505" t="s">
        <v>7</v>
      </c>
      <c r="G1505">
        <v>7.8E-2</v>
      </c>
      <c r="H1505" t="s">
        <v>11</v>
      </c>
    </row>
    <row r="1506" spans="1:8" x14ac:dyDescent="0.25">
      <c r="A1506" t="str">
        <f t="shared" si="23"/>
        <v>31-Jul-18</v>
      </c>
      <c r="B1506" t="s">
        <v>7</v>
      </c>
      <c r="C1506" t="s">
        <v>8</v>
      </c>
      <c r="D1506" t="str">
        <f>"74144T108"</f>
        <v>74144T108</v>
      </c>
      <c r="E1506" t="s">
        <v>1521</v>
      </c>
      <c r="F1506" t="s">
        <v>7</v>
      </c>
      <c r="G1506">
        <v>5.8000000000000003E-2</v>
      </c>
      <c r="H1506" t="s">
        <v>11</v>
      </c>
    </row>
    <row r="1507" spans="1:8" x14ac:dyDescent="0.25">
      <c r="A1507" t="str">
        <f t="shared" si="23"/>
        <v>31-Jul-18</v>
      </c>
      <c r="B1507" t="s">
        <v>7</v>
      </c>
      <c r="C1507" t="s">
        <v>8</v>
      </c>
      <c r="D1507" t="str">
        <f>"872590104"</f>
        <v>872590104</v>
      </c>
      <c r="E1507" t="s">
        <v>1522</v>
      </c>
      <c r="F1507" t="s">
        <v>7</v>
      </c>
      <c r="G1507">
        <v>1.7999999999999999E-2</v>
      </c>
      <c r="H1507" t="s">
        <v>11</v>
      </c>
    </row>
    <row r="1508" spans="1:8" x14ac:dyDescent="0.25">
      <c r="A1508" t="str">
        <f t="shared" si="23"/>
        <v>31-Jul-18</v>
      </c>
      <c r="B1508" t="s">
        <v>7</v>
      </c>
      <c r="C1508" t="s">
        <v>8</v>
      </c>
      <c r="D1508" t="str">
        <f>"87236Y108"</f>
        <v>87236Y108</v>
      </c>
      <c r="E1508" t="s">
        <v>1523</v>
      </c>
      <c r="F1508" t="s">
        <v>7</v>
      </c>
      <c r="G1508">
        <v>3.5999999999999997E-2</v>
      </c>
      <c r="H1508" t="s">
        <v>11</v>
      </c>
    </row>
    <row r="1509" spans="1:8" x14ac:dyDescent="0.25">
      <c r="A1509" t="str">
        <f t="shared" si="23"/>
        <v>31-Jul-18</v>
      </c>
      <c r="B1509" t="s">
        <v>7</v>
      </c>
      <c r="C1509" t="s">
        <v>8</v>
      </c>
      <c r="D1509" t="str">
        <f>"H84989104"</f>
        <v>H84989104</v>
      </c>
      <c r="E1509" t="s">
        <v>1524</v>
      </c>
      <c r="F1509" t="s">
        <v>7</v>
      </c>
      <c r="G1509">
        <v>0.14099999999999999</v>
      </c>
      <c r="H1509" t="s">
        <v>11</v>
      </c>
    </row>
    <row r="1510" spans="1:8" x14ac:dyDescent="0.25">
      <c r="A1510" t="str">
        <f t="shared" si="23"/>
        <v>31-Jul-18</v>
      </c>
      <c r="B1510" t="s">
        <v>7</v>
      </c>
      <c r="C1510" t="s">
        <v>8</v>
      </c>
      <c r="D1510" t="str">
        <f>"872540109"</f>
        <v>872540109</v>
      </c>
      <c r="E1510" t="s">
        <v>1525</v>
      </c>
      <c r="F1510" t="s">
        <v>7</v>
      </c>
      <c r="G1510">
        <v>0.16400000000000001</v>
      </c>
      <c r="H1510" t="s">
        <v>11</v>
      </c>
    </row>
    <row r="1511" spans="1:8" x14ac:dyDescent="0.25">
      <c r="A1511" t="str">
        <f t="shared" si="23"/>
        <v>31-Jul-18</v>
      </c>
      <c r="B1511" t="s">
        <v>7</v>
      </c>
      <c r="C1511" t="s">
        <v>8</v>
      </c>
      <c r="D1511" t="str">
        <f>"874054109"</f>
        <v>874054109</v>
      </c>
      <c r="E1511" t="s">
        <v>1526</v>
      </c>
      <c r="F1511" t="s">
        <v>7</v>
      </c>
      <c r="G1511">
        <v>2.4E-2</v>
      </c>
      <c r="H1511" t="s">
        <v>11</v>
      </c>
    </row>
    <row r="1512" spans="1:8" x14ac:dyDescent="0.25">
      <c r="A1512" t="str">
        <f t="shared" si="23"/>
        <v>31-Jul-18</v>
      </c>
      <c r="B1512" t="s">
        <v>7</v>
      </c>
      <c r="C1512" t="s">
        <v>8</v>
      </c>
      <c r="D1512" t="str">
        <f>"876030107"</f>
        <v>876030107</v>
      </c>
      <c r="E1512" t="s">
        <v>1527</v>
      </c>
      <c r="F1512" t="s">
        <v>7</v>
      </c>
      <c r="G1512">
        <v>2.5999999999999999E-2</v>
      </c>
      <c r="H1512" t="s">
        <v>11</v>
      </c>
    </row>
    <row r="1513" spans="1:8" x14ac:dyDescent="0.25">
      <c r="A1513" t="str">
        <f t="shared" si="23"/>
        <v>31-Jul-18</v>
      </c>
      <c r="B1513" t="s">
        <v>7</v>
      </c>
      <c r="C1513" t="s">
        <v>8</v>
      </c>
      <c r="D1513" t="str">
        <f>"87612G101"</f>
        <v>87612G101</v>
      </c>
      <c r="E1513" t="s">
        <v>1528</v>
      </c>
      <c r="F1513" t="s">
        <v>7</v>
      </c>
      <c r="G1513">
        <v>2.1999999999999999E-2</v>
      </c>
      <c r="H1513" t="s">
        <v>11</v>
      </c>
    </row>
    <row r="1514" spans="1:8" x14ac:dyDescent="0.25">
      <c r="A1514" t="str">
        <f t="shared" si="23"/>
        <v>31-Jul-18</v>
      </c>
      <c r="B1514" t="s">
        <v>7</v>
      </c>
      <c r="C1514" t="s">
        <v>8</v>
      </c>
      <c r="D1514" t="str">
        <f>"87612E106"</f>
        <v>87612E106</v>
      </c>
      <c r="E1514" t="s">
        <v>1529</v>
      </c>
      <c r="F1514" t="s">
        <v>7</v>
      </c>
      <c r="G1514">
        <v>0.11</v>
      </c>
      <c r="H1514" t="s">
        <v>11</v>
      </c>
    </row>
    <row r="1515" spans="1:8" x14ac:dyDescent="0.25">
      <c r="A1515" t="str">
        <f t="shared" si="23"/>
        <v>31-Jul-18</v>
      </c>
      <c r="B1515" t="s">
        <v>7</v>
      </c>
      <c r="C1515" t="s">
        <v>8</v>
      </c>
      <c r="D1515" t="str">
        <f>"G87110105"</f>
        <v>G87110105</v>
      </c>
      <c r="E1515" t="s">
        <v>1530</v>
      </c>
      <c r="F1515" t="s">
        <v>7</v>
      </c>
      <c r="G1515">
        <v>5.8000000000000003E-2</v>
      </c>
      <c r="H1515" t="s">
        <v>11</v>
      </c>
    </row>
    <row r="1516" spans="1:8" x14ac:dyDescent="0.25">
      <c r="A1516" t="str">
        <f t="shared" si="23"/>
        <v>31-Jul-18</v>
      </c>
      <c r="B1516" t="s">
        <v>7</v>
      </c>
      <c r="C1516" t="s">
        <v>8</v>
      </c>
      <c r="D1516" t="str">
        <f>"879369106"</f>
        <v>879369106</v>
      </c>
      <c r="E1516" t="s">
        <v>1531</v>
      </c>
      <c r="F1516" t="s">
        <v>7</v>
      </c>
      <c r="G1516">
        <v>1.4999999999999999E-2</v>
      </c>
      <c r="H1516" t="s">
        <v>11</v>
      </c>
    </row>
    <row r="1517" spans="1:8" x14ac:dyDescent="0.25">
      <c r="A1517" t="str">
        <f t="shared" si="23"/>
        <v>31-Jul-18</v>
      </c>
      <c r="B1517" t="s">
        <v>7</v>
      </c>
      <c r="C1517" t="s">
        <v>8</v>
      </c>
      <c r="D1517" t="str">
        <f>"88160R101"</f>
        <v>88160R101</v>
      </c>
      <c r="E1517" t="s">
        <v>1532</v>
      </c>
      <c r="F1517" t="s">
        <v>7</v>
      </c>
      <c r="G1517">
        <v>0.11700000000000001</v>
      </c>
      <c r="H1517" t="s">
        <v>11</v>
      </c>
    </row>
    <row r="1518" spans="1:8" x14ac:dyDescent="0.25">
      <c r="A1518" t="str">
        <f t="shared" si="23"/>
        <v>31-Jul-18</v>
      </c>
      <c r="B1518" t="s">
        <v>7</v>
      </c>
      <c r="C1518" t="s">
        <v>8</v>
      </c>
      <c r="D1518" t="str">
        <f>"881624209"</f>
        <v>881624209</v>
      </c>
      <c r="E1518" t="s">
        <v>1533</v>
      </c>
      <c r="F1518" t="s">
        <v>7</v>
      </c>
      <c r="G1518">
        <v>4.0000000000000001E-3</v>
      </c>
      <c r="H1518" t="s">
        <v>11</v>
      </c>
    </row>
    <row r="1519" spans="1:8" x14ac:dyDescent="0.25">
      <c r="A1519" t="str">
        <f t="shared" si="23"/>
        <v>31-Jul-18</v>
      </c>
      <c r="B1519" t="s">
        <v>7</v>
      </c>
      <c r="C1519" t="s">
        <v>8</v>
      </c>
      <c r="D1519" t="str">
        <f>"882508104"</f>
        <v>882508104</v>
      </c>
      <c r="E1519" t="s">
        <v>1534</v>
      </c>
      <c r="F1519" t="s">
        <v>7</v>
      </c>
      <c r="G1519">
        <v>0.46600000000000003</v>
      </c>
      <c r="H1519" t="s">
        <v>11</v>
      </c>
    </row>
    <row r="1520" spans="1:8" x14ac:dyDescent="0.25">
      <c r="A1520" t="str">
        <f t="shared" si="23"/>
        <v>31-Jul-18</v>
      </c>
      <c r="B1520" t="s">
        <v>7</v>
      </c>
      <c r="C1520" t="s">
        <v>8</v>
      </c>
      <c r="D1520" t="str">
        <f>"883556102"</f>
        <v>883556102</v>
      </c>
      <c r="E1520" t="s">
        <v>1535</v>
      </c>
      <c r="F1520" t="s">
        <v>7</v>
      </c>
      <c r="G1520">
        <v>0.114</v>
      </c>
      <c r="H1520" t="s">
        <v>11</v>
      </c>
    </row>
    <row r="1521" spans="1:8" x14ac:dyDescent="0.25">
      <c r="A1521" t="str">
        <f t="shared" si="23"/>
        <v>31-Jul-18</v>
      </c>
      <c r="B1521" t="s">
        <v>7</v>
      </c>
      <c r="C1521" t="s">
        <v>8</v>
      </c>
      <c r="D1521" t="str">
        <f>"886547108"</f>
        <v>886547108</v>
      </c>
      <c r="E1521" t="s">
        <v>1536</v>
      </c>
      <c r="F1521" t="s">
        <v>7</v>
      </c>
      <c r="G1521">
        <v>6.7000000000000004E-2</v>
      </c>
      <c r="H1521" t="s">
        <v>11</v>
      </c>
    </row>
    <row r="1522" spans="1:8" x14ac:dyDescent="0.25">
      <c r="A1522" t="str">
        <f t="shared" si="23"/>
        <v>31-Jul-18</v>
      </c>
      <c r="B1522" t="s">
        <v>7</v>
      </c>
      <c r="C1522" t="s">
        <v>8</v>
      </c>
      <c r="D1522" t="str">
        <f>"889478103"</f>
        <v>889478103</v>
      </c>
      <c r="E1522" t="s">
        <v>1537</v>
      </c>
      <c r="F1522" t="s">
        <v>7</v>
      </c>
      <c r="G1522">
        <v>1.0999999999999999E-2</v>
      </c>
      <c r="H1522" t="s">
        <v>11</v>
      </c>
    </row>
    <row r="1523" spans="1:8" x14ac:dyDescent="0.25">
      <c r="A1523" t="str">
        <f t="shared" si="23"/>
        <v>31-Jul-18</v>
      </c>
      <c r="B1523" t="s">
        <v>7</v>
      </c>
      <c r="C1523" t="s">
        <v>8</v>
      </c>
      <c r="D1523" t="str">
        <f>"891027104"</f>
        <v>891027104</v>
      </c>
      <c r="E1523" t="s">
        <v>1538</v>
      </c>
      <c r="F1523" t="s">
        <v>7</v>
      </c>
      <c r="G1523">
        <v>8.9999999999999993E-3</v>
      </c>
      <c r="H1523" t="s">
        <v>11</v>
      </c>
    </row>
    <row r="1524" spans="1:8" x14ac:dyDescent="0.25">
      <c r="A1524" t="str">
        <f t="shared" si="23"/>
        <v>31-Jul-18</v>
      </c>
      <c r="B1524" t="s">
        <v>7</v>
      </c>
      <c r="C1524" t="s">
        <v>8</v>
      </c>
      <c r="D1524" t="str">
        <f>"891906109"</f>
        <v>891906109</v>
      </c>
      <c r="E1524" t="s">
        <v>1539</v>
      </c>
      <c r="F1524" t="s">
        <v>7</v>
      </c>
      <c r="G1524">
        <v>1.7000000000000001E-2</v>
      </c>
      <c r="H1524" t="s">
        <v>11</v>
      </c>
    </row>
    <row r="1525" spans="1:8" x14ac:dyDescent="0.25">
      <c r="A1525" t="str">
        <f t="shared" si="23"/>
        <v>31-Jul-18</v>
      </c>
      <c r="B1525" t="s">
        <v>7</v>
      </c>
      <c r="C1525" t="s">
        <v>8</v>
      </c>
      <c r="D1525" t="str">
        <f>"892356106"</f>
        <v>892356106</v>
      </c>
      <c r="E1525" t="s">
        <v>1540</v>
      </c>
      <c r="F1525" t="s">
        <v>7</v>
      </c>
      <c r="G1525">
        <v>2.1000000000000001E-2</v>
      </c>
      <c r="H1525" t="s">
        <v>11</v>
      </c>
    </row>
    <row r="1526" spans="1:8" x14ac:dyDescent="0.25">
      <c r="A1526" t="str">
        <f t="shared" si="23"/>
        <v>31-Jul-18</v>
      </c>
      <c r="B1526" t="s">
        <v>7</v>
      </c>
      <c r="C1526" t="s">
        <v>8</v>
      </c>
      <c r="D1526" t="str">
        <f>"893641100"</f>
        <v>893641100</v>
      </c>
      <c r="E1526" t="s">
        <v>1541</v>
      </c>
      <c r="F1526" t="s">
        <v>7</v>
      </c>
      <c r="G1526">
        <v>7.5999999999999998E-2</v>
      </c>
      <c r="H1526" t="s">
        <v>11</v>
      </c>
    </row>
    <row r="1527" spans="1:8" x14ac:dyDescent="0.25">
      <c r="A1527" t="str">
        <f t="shared" si="23"/>
        <v>31-Jul-18</v>
      </c>
      <c r="B1527" t="s">
        <v>7</v>
      </c>
      <c r="C1527" t="s">
        <v>8</v>
      </c>
      <c r="D1527" t="str">
        <f>"89400J107"</f>
        <v>89400J107</v>
      </c>
      <c r="E1527" t="s">
        <v>1542</v>
      </c>
      <c r="F1527" t="s">
        <v>7</v>
      </c>
      <c r="G1527">
        <v>0.03</v>
      </c>
      <c r="H1527" t="s">
        <v>11</v>
      </c>
    </row>
    <row r="1528" spans="1:8" x14ac:dyDescent="0.25">
      <c r="A1528" t="str">
        <f t="shared" si="23"/>
        <v>31-Jul-18</v>
      </c>
      <c r="B1528" t="s">
        <v>7</v>
      </c>
      <c r="C1528" t="s">
        <v>8</v>
      </c>
      <c r="D1528" t="str">
        <f>"89417E109"</f>
        <v>89417E109</v>
      </c>
      <c r="E1528" t="s">
        <v>1543</v>
      </c>
      <c r="F1528" t="s">
        <v>7</v>
      </c>
      <c r="G1528">
        <v>0.09</v>
      </c>
      <c r="H1528" t="s">
        <v>11</v>
      </c>
    </row>
    <row r="1529" spans="1:8" x14ac:dyDescent="0.25">
      <c r="A1529" t="str">
        <f t="shared" si="23"/>
        <v>31-Jul-18</v>
      </c>
      <c r="B1529" t="s">
        <v>7</v>
      </c>
      <c r="C1529" t="s">
        <v>8</v>
      </c>
      <c r="D1529" t="str">
        <f>"896239100"</f>
        <v>896239100</v>
      </c>
      <c r="E1529" t="s">
        <v>1544</v>
      </c>
      <c r="F1529" t="s">
        <v>7</v>
      </c>
      <c r="G1529">
        <v>1.9E-2</v>
      </c>
      <c r="H1529" t="s">
        <v>11</v>
      </c>
    </row>
    <row r="1530" spans="1:8" x14ac:dyDescent="0.25">
      <c r="A1530" t="str">
        <f t="shared" si="23"/>
        <v>31-Jul-18</v>
      </c>
      <c r="B1530" t="s">
        <v>7</v>
      </c>
      <c r="C1530" t="s">
        <v>8</v>
      </c>
      <c r="D1530" t="str">
        <f>"896945201"</f>
        <v>896945201</v>
      </c>
      <c r="E1530" t="s">
        <v>1545</v>
      </c>
      <c r="F1530" t="s">
        <v>7</v>
      </c>
      <c r="G1530">
        <v>1.4999999999999999E-2</v>
      </c>
      <c r="H1530" t="s">
        <v>11</v>
      </c>
    </row>
    <row r="1531" spans="1:8" x14ac:dyDescent="0.25">
      <c r="A1531" t="str">
        <f t="shared" si="23"/>
        <v>31-Jul-18</v>
      </c>
      <c r="B1531" t="s">
        <v>7</v>
      </c>
      <c r="C1531" t="s">
        <v>8</v>
      </c>
      <c r="D1531" t="str">
        <f>"90130A101"</f>
        <v>90130A101</v>
      </c>
      <c r="E1531" t="s">
        <v>1546</v>
      </c>
      <c r="F1531" t="s">
        <v>7</v>
      </c>
      <c r="G1531">
        <v>6.3E-2</v>
      </c>
      <c r="H1531" t="s">
        <v>11</v>
      </c>
    </row>
    <row r="1532" spans="1:8" x14ac:dyDescent="0.25">
      <c r="A1532" t="str">
        <f t="shared" si="23"/>
        <v>31-Jul-18</v>
      </c>
      <c r="B1532" t="s">
        <v>7</v>
      </c>
      <c r="C1532" t="s">
        <v>8</v>
      </c>
      <c r="D1532" t="str">
        <f>"90130A200"</f>
        <v>90130A200</v>
      </c>
      <c r="E1532" t="s">
        <v>1546</v>
      </c>
      <c r="F1532" t="s">
        <v>7</v>
      </c>
      <c r="G1532">
        <v>0.02</v>
      </c>
      <c r="H1532" t="s">
        <v>11</v>
      </c>
    </row>
    <row r="1533" spans="1:8" x14ac:dyDescent="0.25">
      <c r="A1533" t="str">
        <f t="shared" si="23"/>
        <v>31-Jul-18</v>
      </c>
      <c r="B1533" t="s">
        <v>7</v>
      </c>
      <c r="C1533" t="s">
        <v>8</v>
      </c>
      <c r="D1533" t="str">
        <f>"90184L102"</f>
        <v>90184L102</v>
      </c>
      <c r="E1533" t="s">
        <v>1547</v>
      </c>
      <c r="F1533" t="s">
        <v>7</v>
      </c>
      <c r="G1533">
        <v>2.1000000000000001E-2</v>
      </c>
      <c r="H1533" t="s">
        <v>11</v>
      </c>
    </row>
    <row r="1534" spans="1:8" x14ac:dyDescent="0.25">
      <c r="A1534" t="str">
        <f t="shared" si="23"/>
        <v>31-Jul-18</v>
      </c>
      <c r="B1534" t="s">
        <v>7</v>
      </c>
      <c r="C1534" t="s">
        <v>8</v>
      </c>
      <c r="D1534" t="str">
        <f>"902494103"</f>
        <v>902494103</v>
      </c>
      <c r="E1534" t="s">
        <v>1548</v>
      </c>
      <c r="F1534" t="s">
        <v>7</v>
      </c>
      <c r="G1534">
        <v>1.9E-2</v>
      </c>
      <c r="H1534" t="s">
        <v>11</v>
      </c>
    </row>
    <row r="1535" spans="1:8" x14ac:dyDescent="0.25">
      <c r="A1535" t="str">
        <f t="shared" si="23"/>
        <v>31-Jul-18</v>
      </c>
      <c r="B1535" t="s">
        <v>7</v>
      </c>
      <c r="C1535" t="s">
        <v>8</v>
      </c>
      <c r="D1535" t="str">
        <f>"902653104"</f>
        <v>902653104</v>
      </c>
      <c r="E1535" t="s">
        <v>1549</v>
      </c>
      <c r="F1535" t="s">
        <v>7</v>
      </c>
      <c r="G1535">
        <v>2.3E-2</v>
      </c>
      <c r="H1535" t="s">
        <v>11</v>
      </c>
    </row>
    <row r="1536" spans="1:8" x14ac:dyDescent="0.25">
      <c r="A1536" t="str">
        <f t="shared" si="23"/>
        <v>31-Jul-18</v>
      </c>
      <c r="B1536" t="s">
        <v>7</v>
      </c>
      <c r="C1536" t="s">
        <v>8</v>
      </c>
      <c r="D1536" t="str">
        <f>"902681105"</f>
        <v>902681105</v>
      </c>
      <c r="E1536" t="s">
        <v>1550</v>
      </c>
      <c r="F1536" t="s">
        <v>7</v>
      </c>
      <c r="G1536">
        <v>2.1000000000000001E-2</v>
      </c>
      <c r="H1536" t="s">
        <v>11</v>
      </c>
    </row>
    <row r="1537" spans="1:8" x14ac:dyDescent="0.25">
      <c r="A1537" t="str">
        <f t="shared" si="23"/>
        <v>31-Jul-18</v>
      </c>
      <c r="B1537" t="s">
        <v>7</v>
      </c>
      <c r="C1537" t="s">
        <v>8</v>
      </c>
      <c r="D1537" t="str">
        <f>"902973304"</f>
        <v>902973304</v>
      </c>
      <c r="E1537" t="s">
        <v>1551</v>
      </c>
      <c r="F1537" t="s">
        <v>7</v>
      </c>
      <c r="G1537">
        <v>0.10299999999999999</v>
      </c>
      <c r="H1537" t="s">
        <v>11</v>
      </c>
    </row>
    <row r="1538" spans="1:8" x14ac:dyDescent="0.25">
      <c r="A1538" t="str">
        <f t="shared" ref="A1538:A1604" si="24">"31-Jul-18"</f>
        <v>31-Jul-18</v>
      </c>
      <c r="B1538" t="s">
        <v>7</v>
      </c>
      <c r="C1538" t="s">
        <v>8</v>
      </c>
      <c r="D1538" t="str">
        <f>"90384S303"</f>
        <v>90384S303</v>
      </c>
      <c r="E1538" t="s">
        <v>1552</v>
      </c>
      <c r="F1538" t="s">
        <v>7</v>
      </c>
      <c r="G1538">
        <v>0.03</v>
      </c>
      <c r="H1538" t="s">
        <v>11</v>
      </c>
    </row>
    <row r="1539" spans="1:8" x14ac:dyDescent="0.25">
      <c r="A1539" t="str">
        <f t="shared" si="24"/>
        <v>31-Jul-18</v>
      </c>
      <c r="B1539" t="s">
        <v>7</v>
      </c>
      <c r="C1539" t="s">
        <v>8</v>
      </c>
      <c r="D1539" t="str">
        <f>"904311206"</f>
        <v>904311206</v>
      </c>
      <c r="E1539" t="s">
        <v>1553</v>
      </c>
      <c r="F1539" t="s">
        <v>7</v>
      </c>
      <c r="G1539">
        <v>2E-3</v>
      </c>
      <c r="H1539" t="s">
        <v>11</v>
      </c>
    </row>
    <row r="1540" spans="1:8" x14ac:dyDescent="0.25">
      <c r="A1540" t="str">
        <f t="shared" si="24"/>
        <v>31-Jul-18</v>
      </c>
      <c r="B1540" t="s">
        <v>7</v>
      </c>
      <c r="C1540" t="s">
        <v>8</v>
      </c>
      <c r="D1540" t="str">
        <f>"904311107"</f>
        <v>904311107</v>
      </c>
      <c r="E1540" t="s">
        <v>1554</v>
      </c>
      <c r="F1540" t="s">
        <v>7</v>
      </c>
      <c r="G1540">
        <v>1.0999999999999999E-2</v>
      </c>
      <c r="H1540" t="s">
        <v>11</v>
      </c>
    </row>
    <row r="1541" spans="1:8" x14ac:dyDescent="0.25">
      <c r="A1541" t="str">
        <f t="shared" si="24"/>
        <v>31-Jul-18</v>
      </c>
      <c r="B1541" t="s">
        <v>7</v>
      </c>
      <c r="C1541" t="s">
        <v>8</v>
      </c>
      <c r="D1541" t="str">
        <f>"907818108"</f>
        <v>907818108</v>
      </c>
      <c r="E1541" t="s">
        <v>1555</v>
      </c>
      <c r="F1541" t="s">
        <v>7</v>
      </c>
      <c r="G1541">
        <v>0.27100000000000002</v>
      </c>
      <c r="H1541" t="s">
        <v>11</v>
      </c>
    </row>
    <row r="1542" spans="1:8" x14ac:dyDescent="0.25">
      <c r="A1542" t="str">
        <f t="shared" si="24"/>
        <v>31-Jul-18</v>
      </c>
      <c r="B1542" t="s">
        <v>7</v>
      </c>
      <c r="C1542" t="s">
        <v>8</v>
      </c>
      <c r="D1542" t="str">
        <f>"913903100"</f>
        <v>913903100</v>
      </c>
      <c r="E1542" t="s">
        <v>1556</v>
      </c>
      <c r="F1542" t="s">
        <v>7</v>
      </c>
      <c r="G1542">
        <v>1.4999999999999999E-2</v>
      </c>
      <c r="H1542" t="s">
        <v>11</v>
      </c>
    </row>
    <row r="1543" spans="1:8" x14ac:dyDescent="0.25">
      <c r="A1543" t="str">
        <f t="shared" si="24"/>
        <v>31-Jul-18</v>
      </c>
      <c r="B1543" t="s">
        <v>7</v>
      </c>
      <c r="C1543" t="s">
        <v>8</v>
      </c>
      <c r="D1543" t="str">
        <f>"91529Y106"</f>
        <v>91529Y106</v>
      </c>
      <c r="E1543" t="s">
        <v>1557</v>
      </c>
      <c r="F1543" t="s">
        <v>7</v>
      </c>
      <c r="G1543">
        <v>0.01</v>
      </c>
      <c r="H1543" t="s">
        <v>11</v>
      </c>
    </row>
    <row r="1544" spans="1:8" x14ac:dyDescent="0.25">
      <c r="A1544" t="str">
        <f t="shared" si="24"/>
        <v>31-Jul-18</v>
      </c>
      <c r="B1544" t="s">
        <v>7</v>
      </c>
      <c r="C1544" t="s">
        <v>8</v>
      </c>
      <c r="D1544" t="str">
        <f>"910047109"</f>
        <v>910047109</v>
      </c>
      <c r="E1544" t="s">
        <v>1558</v>
      </c>
      <c r="F1544" t="s">
        <v>7</v>
      </c>
      <c r="G1544">
        <v>8.9999999999999993E-3</v>
      </c>
      <c r="H1544" t="s">
        <v>11</v>
      </c>
    </row>
    <row r="1545" spans="1:8" x14ac:dyDescent="0.25">
      <c r="A1545" t="str">
        <f t="shared" si="24"/>
        <v>31-Jul-18</v>
      </c>
      <c r="B1545" t="s">
        <v>7</v>
      </c>
      <c r="C1545" t="s">
        <v>8</v>
      </c>
      <c r="D1545" t="str">
        <f>"911312106"</f>
        <v>911312106</v>
      </c>
      <c r="E1545" t="s">
        <v>1559</v>
      </c>
      <c r="F1545" t="s">
        <v>7</v>
      </c>
      <c r="G1545">
        <v>0.17599999999999999</v>
      </c>
      <c r="H1545" t="s">
        <v>11</v>
      </c>
    </row>
    <row r="1546" spans="1:8" x14ac:dyDescent="0.25">
      <c r="A1546" t="str">
        <f t="shared" si="24"/>
        <v>31-Jul-18</v>
      </c>
      <c r="B1546" t="s">
        <v>7</v>
      </c>
      <c r="C1546" t="s">
        <v>8</v>
      </c>
      <c r="D1546" t="str">
        <f>"911363109"</f>
        <v>911363109</v>
      </c>
      <c r="E1546" t="s">
        <v>1560</v>
      </c>
      <c r="F1546" t="s">
        <v>7</v>
      </c>
      <c r="G1546">
        <v>0.02</v>
      </c>
      <c r="H1546" t="s">
        <v>11</v>
      </c>
    </row>
    <row r="1547" spans="1:8" x14ac:dyDescent="0.25">
      <c r="A1547" t="str">
        <f t="shared" si="24"/>
        <v>31-Jul-18</v>
      </c>
      <c r="B1547" t="s">
        <v>7</v>
      </c>
      <c r="C1547" t="s">
        <v>8</v>
      </c>
      <c r="D1547" t="str">
        <f>"913017109"</f>
        <v>913017109</v>
      </c>
      <c r="E1547" t="s">
        <v>1561</v>
      </c>
      <c r="F1547" t="s">
        <v>7</v>
      </c>
      <c r="G1547">
        <v>0.26700000000000002</v>
      </c>
      <c r="H1547" t="s">
        <v>11</v>
      </c>
    </row>
    <row r="1548" spans="1:8" x14ac:dyDescent="0.25">
      <c r="A1548" t="str">
        <f t="shared" si="24"/>
        <v>31-Jul-18</v>
      </c>
      <c r="B1548" t="s">
        <v>7</v>
      </c>
      <c r="C1548" t="s">
        <v>8</v>
      </c>
      <c r="D1548" t="str">
        <f>"91307C102"</f>
        <v>91307C102</v>
      </c>
      <c r="E1548" t="s">
        <v>1562</v>
      </c>
      <c r="F1548" t="s">
        <v>7</v>
      </c>
      <c r="G1548">
        <v>1.2E-2</v>
      </c>
      <c r="H1548" t="s">
        <v>11</v>
      </c>
    </row>
    <row r="1549" spans="1:8" x14ac:dyDescent="0.25">
      <c r="A1549" t="str">
        <f t="shared" si="24"/>
        <v>31-Jul-18</v>
      </c>
      <c r="B1549" t="s">
        <v>7</v>
      </c>
      <c r="C1549" t="s">
        <v>8</v>
      </c>
      <c r="D1549" t="str">
        <f>"91324P102"</f>
        <v>91324P102</v>
      </c>
      <c r="E1549" t="s">
        <v>1563</v>
      </c>
      <c r="F1549" t="s">
        <v>7</v>
      </c>
      <c r="G1549">
        <v>0.32500000000000001</v>
      </c>
      <c r="H1549" t="s">
        <v>11</v>
      </c>
    </row>
    <row r="1550" spans="1:8" x14ac:dyDescent="0.25">
      <c r="A1550" t="str">
        <f t="shared" si="24"/>
        <v>31-Jul-18</v>
      </c>
      <c r="B1550" t="s">
        <v>7</v>
      </c>
      <c r="C1550" t="s">
        <v>8</v>
      </c>
      <c r="D1550" t="str">
        <f>"92339V100"</f>
        <v>92339V100</v>
      </c>
      <c r="E1550" t="s">
        <v>1564</v>
      </c>
      <c r="F1550" t="s">
        <v>7</v>
      </c>
      <c r="G1550">
        <v>5.0000000000000001E-3</v>
      </c>
      <c r="H1550" t="s">
        <v>11</v>
      </c>
    </row>
    <row r="1551" spans="1:8" x14ac:dyDescent="0.25">
      <c r="A1551" t="str">
        <f t="shared" si="24"/>
        <v>31-Jul-18</v>
      </c>
      <c r="B1551" t="s">
        <v>7</v>
      </c>
      <c r="C1551" t="s">
        <v>8</v>
      </c>
      <c r="D1551" t="str">
        <f>"918204108"</f>
        <v>918204108</v>
      </c>
      <c r="E1551" t="s">
        <v>1565</v>
      </c>
      <c r="F1551" t="s">
        <v>7</v>
      </c>
      <c r="G1551">
        <v>0.121</v>
      </c>
      <c r="H1551" t="s">
        <v>11</v>
      </c>
    </row>
    <row r="1552" spans="1:8" x14ac:dyDescent="0.25">
      <c r="A1552" t="str">
        <f t="shared" si="24"/>
        <v>31-Jul-18</v>
      </c>
      <c r="B1552" t="s">
        <v>7</v>
      </c>
      <c r="C1552" t="s">
        <v>8</v>
      </c>
      <c r="D1552" t="str">
        <f>"928563402"</f>
        <v>928563402</v>
      </c>
      <c r="E1552" t="s">
        <v>1566</v>
      </c>
      <c r="F1552" t="s">
        <v>7</v>
      </c>
      <c r="G1552">
        <v>2.7E-2</v>
      </c>
      <c r="H1552" t="s">
        <v>11</v>
      </c>
    </row>
    <row r="1553" spans="1:8" x14ac:dyDescent="0.25">
      <c r="A1553" t="str">
        <f t="shared" si="24"/>
        <v>31-Jul-18</v>
      </c>
      <c r="B1553" t="s">
        <v>7</v>
      </c>
      <c r="C1553" t="s">
        <v>8</v>
      </c>
      <c r="D1553" t="str">
        <f>"91879Q109"</f>
        <v>91879Q109</v>
      </c>
      <c r="E1553" t="s">
        <v>1567</v>
      </c>
      <c r="F1553" t="s">
        <v>7</v>
      </c>
      <c r="G1553">
        <v>2.1999999999999999E-2</v>
      </c>
      <c r="H1553" t="s">
        <v>11</v>
      </c>
    </row>
    <row r="1554" spans="1:8" x14ac:dyDescent="0.25">
      <c r="A1554" t="str">
        <f t="shared" si="24"/>
        <v>31-Jul-18</v>
      </c>
      <c r="B1554" t="s">
        <v>7</v>
      </c>
      <c r="C1554" t="s">
        <v>8</v>
      </c>
      <c r="D1554" t="str">
        <f>"91913Y100"</f>
        <v>91913Y100</v>
      </c>
      <c r="E1554" t="s">
        <v>1568</v>
      </c>
      <c r="F1554" t="s">
        <v>7</v>
      </c>
      <c r="G1554">
        <v>0.113</v>
      </c>
      <c r="H1554" t="s">
        <v>11</v>
      </c>
    </row>
    <row r="1555" spans="1:8" x14ac:dyDescent="0.25">
      <c r="A1555" t="str">
        <f t="shared" si="24"/>
        <v>31-Jul-18</v>
      </c>
      <c r="B1555" t="s">
        <v>7</v>
      </c>
      <c r="C1555" t="s">
        <v>8</v>
      </c>
      <c r="D1555" t="str">
        <f>"92220P105"</f>
        <v>92220P105</v>
      </c>
      <c r="E1555" t="s">
        <v>1569</v>
      </c>
      <c r="F1555" t="s">
        <v>7</v>
      </c>
      <c r="G1555">
        <v>2.5000000000000001E-2</v>
      </c>
      <c r="H1555" t="s">
        <v>11</v>
      </c>
    </row>
    <row r="1556" spans="1:8" x14ac:dyDescent="0.25">
      <c r="A1556" t="str">
        <f t="shared" si="24"/>
        <v>31-Jul-18</v>
      </c>
      <c r="B1556" t="s">
        <v>7</v>
      </c>
      <c r="C1556" t="s">
        <v>8</v>
      </c>
      <c r="D1556" t="str">
        <f>"922475108"</f>
        <v>922475108</v>
      </c>
      <c r="E1556" t="s">
        <v>1570</v>
      </c>
      <c r="F1556" t="s">
        <v>7</v>
      </c>
      <c r="G1556">
        <v>1.7999999999999999E-2</v>
      </c>
      <c r="H1556" t="s">
        <v>11</v>
      </c>
    </row>
    <row r="1557" spans="1:8" x14ac:dyDescent="0.25">
      <c r="A1557" t="str">
        <f t="shared" si="24"/>
        <v>31-Jul-18</v>
      </c>
      <c r="B1557" t="s">
        <v>7</v>
      </c>
      <c r="C1557" t="s">
        <v>8</v>
      </c>
      <c r="D1557" t="str">
        <f>"92276F100"</f>
        <v>92276F100</v>
      </c>
      <c r="E1557" t="s">
        <v>1571</v>
      </c>
      <c r="F1557" t="s">
        <v>7</v>
      </c>
      <c r="G1557">
        <v>4.5999999999999999E-2</v>
      </c>
      <c r="H1557" t="s">
        <v>11</v>
      </c>
    </row>
    <row r="1558" spans="1:8" x14ac:dyDescent="0.25">
      <c r="A1558" t="str">
        <f t="shared" si="24"/>
        <v>31-Jul-18</v>
      </c>
      <c r="B1558" t="s">
        <v>7</v>
      </c>
      <c r="C1558" t="s">
        <v>8</v>
      </c>
      <c r="D1558" t="str">
        <f>"92343E102"</f>
        <v>92343E102</v>
      </c>
      <c r="E1558" t="s">
        <v>1572</v>
      </c>
      <c r="F1558" t="s">
        <v>7</v>
      </c>
      <c r="G1558">
        <v>1.6E-2</v>
      </c>
      <c r="H1558" t="s">
        <v>11</v>
      </c>
    </row>
    <row r="1559" spans="1:8" x14ac:dyDescent="0.25">
      <c r="A1559" t="str">
        <f t="shared" si="24"/>
        <v>31-Jul-18</v>
      </c>
      <c r="B1559" t="s">
        <v>7</v>
      </c>
      <c r="C1559" t="s">
        <v>8</v>
      </c>
      <c r="D1559" t="str">
        <f>"92345Y106"</f>
        <v>92345Y106</v>
      </c>
      <c r="E1559" t="s">
        <v>1573</v>
      </c>
      <c r="F1559" t="s">
        <v>7</v>
      </c>
      <c r="G1559">
        <v>4.4999999999999998E-2</v>
      </c>
      <c r="H1559" t="s">
        <v>11</v>
      </c>
    </row>
    <row r="1560" spans="1:8" x14ac:dyDescent="0.25">
      <c r="A1560" t="str">
        <f t="shared" si="24"/>
        <v>31-Jul-18</v>
      </c>
      <c r="B1560" t="s">
        <v>7</v>
      </c>
      <c r="C1560" t="s">
        <v>8</v>
      </c>
      <c r="D1560" t="str">
        <f>"92343V104"</f>
        <v>92343V104</v>
      </c>
      <c r="E1560" t="s">
        <v>1574</v>
      </c>
      <c r="F1560" t="s">
        <v>7</v>
      </c>
      <c r="G1560">
        <v>0.54</v>
      </c>
      <c r="H1560" t="s">
        <v>11</v>
      </c>
    </row>
    <row r="1561" spans="1:8" x14ac:dyDescent="0.25">
      <c r="A1561" t="str">
        <f t="shared" si="24"/>
        <v>31-Jul-18</v>
      </c>
      <c r="B1561" t="s">
        <v>7</v>
      </c>
      <c r="C1561" t="s">
        <v>8</v>
      </c>
      <c r="D1561" t="str">
        <f>"92532F100"</f>
        <v>92532F100</v>
      </c>
      <c r="E1561" t="s">
        <v>1575</v>
      </c>
      <c r="F1561" t="s">
        <v>7</v>
      </c>
      <c r="G1561">
        <v>0.19400000000000001</v>
      </c>
      <c r="H1561" t="s">
        <v>11</v>
      </c>
    </row>
    <row r="1562" spans="1:8" x14ac:dyDescent="0.25">
      <c r="A1562" t="str">
        <f t="shared" si="24"/>
        <v>31-Jul-18</v>
      </c>
      <c r="B1562" t="s">
        <v>7</v>
      </c>
      <c r="C1562" t="s">
        <v>8</v>
      </c>
      <c r="D1562" t="str">
        <f>"92553P201"</f>
        <v>92553P201</v>
      </c>
      <c r="E1562" t="s">
        <v>1576</v>
      </c>
      <c r="F1562" t="s">
        <v>7</v>
      </c>
      <c r="G1562">
        <v>1.2E-2</v>
      </c>
      <c r="H1562" t="s">
        <v>11</v>
      </c>
    </row>
    <row r="1563" spans="1:8" x14ac:dyDescent="0.25">
      <c r="A1563" t="str">
        <f t="shared" si="24"/>
        <v>31-Jul-18</v>
      </c>
      <c r="B1563" t="s">
        <v>7</v>
      </c>
      <c r="C1563" t="s">
        <v>8</v>
      </c>
      <c r="D1563" t="str">
        <f>"92826C839"</f>
        <v>92826C839</v>
      </c>
      <c r="E1563" t="s">
        <v>1577</v>
      </c>
      <c r="F1563" t="s">
        <v>7</v>
      </c>
      <c r="G1563">
        <v>0.63500000000000001</v>
      </c>
      <c r="H1563" t="s">
        <v>11</v>
      </c>
    </row>
    <row r="1564" spans="1:8" x14ac:dyDescent="0.25">
      <c r="A1564" t="str">
        <f t="shared" si="24"/>
        <v>31-Jul-18</v>
      </c>
      <c r="B1564" t="s">
        <v>7</v>
      </c>
      <c r="C1564" t="s">
        <v>8</v>
      </c>
      <c r="D1564" t="str">
        <f>"929042109"</f>
        <v>929042109</v>
      </c>
      <c r="E1564" t="s">
        <v>1578</v>
      </c>
      <c r="F1564" t="s">
        <v>7</v>
      </c>
      <c r="G1564">
        <v>2.4E-2</v>
      </c>
      <c r="H1564" t="s">
        <v>11</v>
      </c>
    </row>
    <row r="1565" spans="1:8" x14ac:dyDescent="0.25">
      <c r="A1565" t="str">
        <f t="shared" si="24"/>
        <v>31-Jul-18</v>
      </c>
      <c r="B1565" t="s">
        <v>7</v>
      </c>
      <c r="C1565" t="s">
        <v>8</v>
      </c>
      <c r="D1565" t="str">
        <f>"929089100"</f>
        <v>929089100</v>
      </c>
      <c r="E1565" t="s">
        <v>1579</v>
      </c>
      <c r="F1565" t="s">
        <v>7</v>
      </c>
      <c r="G1565">
        <v>1.9E-2</v>
      </c>
      <c r="H1565" t="s">
        <v>11</v>
      </c>
    </row>
    <row r="1566" spans="1:8" x14ac:dyDescent="0.25">
      <c r="A1566" t="str">
        <f t="shared" si="24"/>
        <v>31-Jul-18</v>
      </c>
      <c r="B1566" t="s">
        <v>7</v>
      </c>
      <c r="C1566" t="s">
        <v>8</v>
      </c>
      <c r="D1566" t="str">
        <f>"929160109"</f>
        <v>929160109</v>
      </c>
      <c r="E1566" t="s">
        <v>1580</v>
      </c>
      <c r="F1566" t="s">
        <v>7</v>
      </c>
      <c r="G1566">
        <v>0.03</v>
      </c>
      <c r="H1566" t="s">
        <v>11</v>
      </c>
    </row>
    <row r="1567" spans="1:8" x14ac:dyDescent="0.25">
      <c r="A1567" t="str">
        <f t="shared" si="24"/>
        <v>31-Jul-18</v>
      </c>
      <c r="B1567" t="s">
        <v>7</v>
      </c>
      <c r="C1567" t="s">
        <v>8</v>
      </c>
      <c r="D1567" t="str">
        <f>"92927K102"</f>
        <v>92927K102</v>
      </c>
      <c r="E1567" t="s">
        <v>1581</v>
      </c>
      <c r="F1567" t="s">
        <v>7</v>
      </c>
      <c r="G1567">
        <v>1.4999999999999999E-2</v>
      </c>
      <c r="H1567" t="s">
        <v>11</v>
      </c>
    </row>
    <row r="1568" spans="1:8" x14ac:dyDescent="0.25">
      <c r="A1568" t="str">
        <f t="shared" si="24"/>
        <v>31-Jul-18</v>
      </c>
      <c r="B1568" t="s">
        <v>7</v>
      </c>
      <c r="C1568" t="s">
        <v>8</v>
      </c>
      <c r="D1568" t="str">
        <f>"92939U106"</f>
        <v>92939U106</v>
      </c>
      <c r="E1568" t="s">
        <v>1582</v>
      </c>
      <c r="F1568" t="s">
        <v>7</v>
      </c>
      <c r="G1568">
        <v>5.6000000000000001E-2</v>
      </c>
      <c r="H1568" t="s">
        <v>11</v>
      </c>
    </row>
    <row r="1569" spans="1:8" x14ac:dyDescent="0.25">
      <c r="A1569" t="str">
        <f t="shared" si="24"/>
        <v>31-Jul-18</v>
      </c>
      <c r="B1569" t="s">
        <v>7</v>
      </c>
      <c r="C1569" t="s">
        <v>8</v>
      </c>
      <c r="D1569" t="str">
        <f>"084423102"</f>
        <v>084423102</v>
      </c>
      <c r="E1569" t="s">
        <v>1583</v>
      </c>
      <c r="F1569" t="s">
        <v>7</v>
      </c>
      <c r="G1569">
        <v>8.9999999999999993E-3</v>
      </c>
      <c r="H1569" t="s">
        <v>11</v>
      </c>
    </row>
    <row r="1570" spans="1:8" x14ac:dyDescent="0.25">
      <c r="A1570" t="str">
        <f t="shared" si="24"/>
        <v>31-Jul-18</v>
      </c>
      <c r="B1570" t="s">
        <v>7</v>
      </c>
      <c r="C1570" t="s">
        <v>8</v>
      </c>
      <c r="D1570" t="str">
        <f>"384802104"</f>
        <v>384802104</v>
      </c>
      <c r="E1570" t="s">
        <v>1584</v>
      </c>
      <c r="F1570" t="s">
        <v>7</v>
      </c>
      <c r="G1570">
        <v>7.4999999999999997E-2</v>
      </c>
      <c r="H1570" t="s">
        <v>11</v>
      </c>
    </row>
    <row r="1571" spans="1:8" x14ac:dyDescent="0.25">
      <c r="A1571" t="str">
        <f t="shared" si="24"/>
        <v>31-Jul-18</v>
      </c>
      <c r="B1571" t="s">
        <v>7</v>
      </c>
      <c r="C1571" t="s">
        <v>8</v>
      </c>
      <c r="D1571" t="str">
        <f>"929740108"</f>
        <v>929740108</v>
      </c>
      <c r="E1571" t="s">
        <v>1585</v>
      </c>
      <c r="F1571" t="s">
        <v>7</v>
      </c>
      <c r="G1571">
        <v>2.5000000000000001E-2</v>
      </c>
      <c r="H1571" t="s">
        <v>11</v>
      </c>
    </row>
    <row r="1572" spans="1:8" x14ac:dyDescent="0.25">
      <c r="A1572" t="str">
        <f t="shared" si="24"/>
        <v>31-Jul-18</v>
      </c>
      <c r="B1572" t="s">
        <v>7</v>
      </c>
      <c r="C1572" t="s">
        <v>8</v>
      </c>
      <c r="D1572" t="str">
        <f>"931427108"</f>
        <v>931427108</v>
      </c>
      <c r="E1572" t="s">
        <v>1586</v>
      </c>
      <c r="F1572" t="s">
        <v>7</v>
      </c>
      <c r="G1572">
        <v>0.155</v>
      </c>
      <c r="H1572" t="s">
        <v>11</v>
      </c>
    </row>
    <row r="1573" spans="1:8" x14ac:dyDescent="0.25">
      <c r="A1573" t="str">
        <f t="shared" si="24"/>
        <v>31-Jul-18</v>
      </c>
      <c r="B1573" t="s">
        <v>7</v>
      </c>
      <c r="C1573" t="s">
        <v>8</v>
      </c>
      <c r="D1573" t="str">
        <f>"254687106"</f>
        <v>254687106</v>
      </c>
      <c r="E1573" t="s">
        <v>1587</v>
      </c>
      <c r="F1573" t="s">
        <v>7</v>
      </c>
      <c r="G1573">
        <v>0.35099999999999998</v>
      </c>
      <c r="H1573" t="s">
        <v>11</v>
      </c>
    </row>
    <row r="1574" spans="1:8" x14ac:dyDescent="0.25">
      <c r="A1574" t="str">
        <f t="shared" si="24"/>
        <v>31-Jul-18</v>
      </c>
      <c r="B1574" t="s">
        <v>7</v>
      </c>
      <c r="C1574" t="s">
        <v>8</v>
      </c>
      <c r="D1574" t="str">
        <f>"94106B101"</f>
        <v>94106B101</v>
      </c>
      <c r="E1574" t="s">
        <v>1588</v>
      </c>
      <c r="F1574" t="s">
        <v>7</v>
      </c>
      <c r="G1574">
        <v>5.0999999999999997E-2</v>
      </c>
      <c r="H1574" t="s">
        <v>11</v>
      </c>
    </row>
    <row r="1575" spans="1:8" x14ac:dyDescent="0.25">
      <c r="A1575" t="str">
        <f t="shared" si="24"/>
        <v>31-Jul-18</v>
      </c>
      <c r="B1575" t="s">
        <v>7</v>
      </c>
      <c r="C1575" t="s">
        <v>8</v>
      </c>
      <c r="D1575" t="str">
        <f>"94106L109"</f>
        <v>94106L109</v>
      </c>
      <c r="E1575" t="s">
        <v>1589</v>
      </c>
      <c r="F1575" t="s">
        <v>7</v>
      </c>
      <c r="G1575">
        <v>9.8000000000000004E-2</v>
      </c>
      <c r="H1575" t="s">
        <v>11</v>
      </c>
    </row>
    <row r="1576" spans="1:8" x14ac:dyDescent="0.25">
      <c r="A1576" t="str">
        <f t="shared" si="24"/>
        <v>31-Jul-18</v>
      </c>
      <c r="B1576" t="s">
        <v>7</v>
      </c>
      <c r="C1576" t="s">
        <v>8</v>
      </c>
      <c r="D1576" t="str">
        <f>"941848103"</f>
        <v>941848103</v>
      </c>
      <c r="E1576" t="s">
        <v>1590</v>
      </c>
      <c r="F1576" t="s">
        <v>7</v>
      </c>
      <c r="G1576">
        <v>6.0999999999999999E-2</v>
      </c>
      <c r="H1576" t="s">
        <v>11</v>
      </c>
    </row>
    <row r="1577" spans="1:8" x14ac:dyDescent="0.25">
      <c r="A1577" t="str">
        <f t="shared" si="24"/>
        <v>31-Jul-18</v>
      </c>
      <c r="B1577" t="s">
        <v>7</v>
      </c>
      <c r="C1577" t="s">
        <v>8</v>
      </c>
      <c r="D1577" t="str">
        <f>"95040Q104"</f>
        <v>95040Q104</v>
      </c>
      <c r="E1577" t="s">
        <v>1591</v>
      </c>
      <c r="F1577" t="s">
        <v>7</v>
      </c>
      <c r="G1577">
        <v>5.2999999999999999E-2</v>
      </c>
      <c r="H1577" t="s">
        <v>11</v>
      </c>
    </row>
    <row r="1578" spans="1:8" x14ac:dyDescent="0.25">
      <c r="A1578" t="str">
        <f t="shared" si="24"/>
        <v>31-Jul-18</v>
      </c>
      <c r="B1578" t="s">
        <v>7</v>
      </c>
      <c r="C1578" t="s">
        <v>8</v>
      </c>
      <c r="D1578" t="str">
        <f>"96145D105"</f>
        <v>96145D105</v>
      </c>
      <c r="E1578" t="s">
        <v>1592</v>
      </c>
      <c r="F1578" t="s">
        <v>7</v>
      </c>
      <c r="G1578">
        <v>3.5000000000000003E-2</v>
      </c>
      <c r="H1578" t="s">
        <v>11</v>
      </c>
    </row>
    <row r="1579" spans="1:8" x14ac:dyDescent="0.25">
      <c r="A1579" t="str">
        <f t="shared" si="24"/>
        <v>31-Jul-18</v>
      </c>
      <c r="B1579" t="s">
        <v>7</v>
      </c>
      <c r="C1579" t="s">
        <v>8</v>
      </c>
      <c r="D1579" t="str">
        <f>"958102105"</f>
        <v>958102105</v>
      </c>
      <c r="E1579" t="s">
        <v>1593</v>
      </c>
      <c r="F1579" t="s">
        <v>7</v>
      </c>
      <c r="G1579">
        <v>2.1999999999999999E-2</v>
      </c>
      <c r="H1579" t="s">
        <v>11</v>
      </c>
    </row>
    <row r="1580" spans="1:8" x14ac:dyDescent="0.25">
      <c r="A1580" t="str">
        <f t="shared" si="24"/>
        <v>31-Jul-18</v>
      </c>
      <c r="B1580" t="s">
        <v>7</v>
      </c>
      <c r="C1580" t="s">
        <v>8</v>
      </c>
      <c r="D1580" t="str">
        <f>"959802109"</f>
        <v>959802109</v>
      </c>
      <c r="E1580" t="s">
        <v>1594</v>
      </c>
      <c r="F1580" t="s">
        <v>7</v>
      </c>
      <c r="G1580">
        <v>2.7E-2</v>
      </c>
      <c r="H1580" t="s">
        <v>11</v>
      </c>
    </row>
    <row r="1581" spans="1:8" x14ac:dyDescent="0.25">
      <c r="A1581" t="str">
        <f t="shared" si="24"/>
        <v>31-Jul-18</v>
      </c>
      <c r="B1581" t="s">
        <v>7</v>
      </c>
      <c r="C1581" t="s">
        <v>8</v>
      </c>
      <c r="D1581" t="str">
        <f>"962166104"</f>
        <v>962166104</v>
      </c>
      <c r="E1581" t="s">
        <v>1595</v>
      </c>
      <c r="F1581" t="s">
        <v>7</v>
      </c>
      <c r="G1581">
        <v>6.2E-2</v>
      </c>
      <c r="H1581" t="s">
        <v>11</v>
      </c>
    </row>
    <row r="1582" spans="1:8" x14ac:dyDescent="0.25">
      <c r="A1582" t="str">
        <f t="shared" si="24"/>
        <v>31-Jul-18</v>
      </c>
      <c r="B1582" t="s">
        <v>7</v>
      </c>
      <c r="C1582" t="s">
        <v>8</v>
      </c>
      <c r="D1582" t="str">
        <f>"963320106"</f>
        <v>963320106</v>
      </c>
      <c r="E1582" t="s">
        <v>1596</v>
      </c>
      <c r="F1582" t="s">
        <v>7</v>
      </c>
      <c r="G1582">
        <v>1.7999999999999999E-2</v>
      </c>
      <c r="H1582" t="s">
        <v>11</v>
      </c>
    </row>
    <row r="1583" spans="1:8" x14ac:dyDescent="0.25">
      <c r="A1583" t="str">
        <f t="shared" si="24"/>
        <v>31-Jul-18</v>
      </c>
      <c r="B1583" t="s">
        <v>7</v>
      </c>
      <c r="C1583" t="s">
        <v>8</v>
      </c>
      <c r="D1583" t="str">
        <f>"969457100"</f>
        <v>969457100</v>
      </c>
      <c r="E1583" t="s">
        <v>1597</v>
      </c>
      <c r="F1583" t="s">
        <v>7</v>
      </c>
      <c r="G1583">
        <v>4.7E-2</v>
      </c>
      <c r="H1583" t="s">
        <v>11</v>
      </c>
    </row>
    <row r="1584" spans="1:8" x14ac:dyDescent="0.25">
      <c r="A1584" t="str">
        <f t="shared" si="24"/>
        <v>31-Jul-18</v>
      </c>
      <c r="B1584" t="s">
        <v>7</v>
      </c>
      <c r="C1584" t="s">
        <v>8</v>
      </c>
      <c r="D1584" t="str">
        <f>"G96629103"</f>
        <v>G96629103</v>
      </c>
      <c r="E1584" t="s">
        <v>1598</v>
      </c>
      <c r="F1584" t="s">
        <v>7</v>
      </c>
      <c r="G1584">
        <v>4.4999999999999998E-2</v>
      </c>
      <c r="H1584" t="s">
        <v>11</v>
      </c>
    </row>
    <row r="1585" spans="1:8" x14ac:dyDescent="0.25">
      <c r="A1585" t="str">
        <f t="shared" si="24"/>
        <v>31-Jul-18</v>
      </c>
      <c r="B1585" t="s">
        <v>7</v>
      </c>
      <c r="C1585" t="s">
        <v>8</v>
      </c>
      <c r="D1585" t="str">
        <f>"98138H101"</f>
        <v>98138H101</v>
      </c>
      <c r="E1585" t="s">
        <v>1599</v>
      </c>
      <c r="F1585" t="s">
        <v>7</v>
      </c>
      <c r="G1585">
        <v>3.5000000000000003E-2</v>
      </c>
      <c r="H1585" t="s">
        <v>11</v>
      </c>
    </row>
    <row r="1586" spans="1:8" x14ac:dyDescent="0.25">
      <c r="A1586" t="str">
        <f t="shared" si="24"/>
        <v>31-Jul-18</v>
      </c>
      <c r="B1586" t="s">
        <v>7</v>
      </c>
      <c r="C1586" t="s">
        <v>8</v>
      </c>
      <c r="D1586" t="str">
        <f>"981558109"</f>
        <v>981558109</v>
      </c>
      <c r="E1586" t="s">
        <v>1600</v>
      </c>
      <c r="F1586" t="s">
        <v>7</v>
      </c>
      <c r="G1586">
        <v>5.6000000000000001E-2</v>
      </c>
      <c r="H1586" t="s">
        <v>11</v>
      </c>
    </row>
    <row r="1587" spans="1:8" x14ac:dyDescent="0.25">
      <c r="A1587" t="str">
        <f t="shared" si="24"/>
        <v>31-Jul-18</v>
      </c>
      <c r="B1587" t="s">
        <v>7</v>
      </c>
      <c r="C1587" t="s">
        <v>8</v>
      </c>
      <c r="D1587" t="str">
        <f>"983134107"</f>
        <v>983134107</v>
      </c>
      <c r="E1587" t="s">
        <v>1601</v>
      </c>
      <c r="F1587" t="s">
        <v>7</v>
      </c>
      <c r="G1587">
        <v>1.4E-2</v>
      </c>
      <c r="H1587" t="s">
        <v>11</v>
      </c>
    </row>
    <row r="1588" spans="1:8" x14ac:dyDescent="0.25">
      <c r="A1588" t="str">
        <f t="shared" si="24"/>
        <v>31-Jul-18</v>
      </c>
      <c r="B1588" t="s">
        <v>7</v>
      </c>
      <c r="C1588" t="s">
        <v>8</v>
      </c>
      <c r="D1588" t="str">
        <f>"G98294104"</f>
        <v>G98294104</v>
      </c>
      <c r="E1588" t="s">
        <v>1602</v>
      </c>
      <c r="F1588" t="s">
        <v>7</v>
      </c>
      <c r="G1588">
        <v>2.9000000000000001E-2</v>
      </c>
      <c r="H1588" t="s">
        <v>11</v>
      </c>
    </row>
    <row r="1589" spans="1:8" x14ac:dyDescent="0.25">
      <c r="A1589" t="str">
        <f t="shared" si="24"/>
        <v>31-Jul-18</v>
      </c>
      <c r="B1589" t="s">
        <v>7</v>
      </c>
      <c r="C1589" t="s">
        <v>8</v>
      </c>
      <c r="D1589" t="str">
        <f>"983793100"</f>
        <v>983793100</v>
      </c>
      <c r="E1589" t="s">
        <v>1603</v>
      </c>
      <c r="F1589" t="s">
        <v>7</v>
      </c>
      <c r="G1589">
        <v>4.0000000000000001E-3</v>
      </c>
      <c r="H1589" t="s">
        <v>11</v>
      </c>
    </row>
    <row r="1590" spans="1:8" x14ac:dyDescent="0.25">
      <c r="A1590" t="str">
        <f t="shared" si="24"/>
        <v>31-Jul-18</v>
      </c>
      <c r="B1590" t="s">
        <v>7</v>
      </c>
      <c r="C1590" t="s">
        <v>8</v>
      </c>
      <c r="D1590" t="str">
        <f>"98389B100"</f>
        <v>98389B100</v>
      </c>
      <c r="E1590" t="s">
        <v>1604</v>
      </c>
      <c r="F1590" t="s">
        <v>7</v>
      </c>
      <c r="G1590">
        <v>0.10199999999999999</v>
      </c>
      <c r="H1590" t="s">
        <v>11</v>
      </c>
    </row>
    <row r="1591" spans="1:8" x14ac:dyDescent="0.25">
      <c r="A1591" t="str">
        <f t="shared" si="24"/>
        <v>31-Jul-18</v>
      </c>
      <c r="B1591" t="s">
        <v>7</v>
      </c>
      <c r="C1591" t="s">
        <v>8</v>
      </c>
      <c r="D1591" t="str">
        <f>"984121608"</f>
        <v>984121608</v>
      </c>
      <c r="E1591" t="s">
        <v>1605</v>
      </c>
      <c r="F1591" t="s">
        <v>7</v>
      </c>
      <c r="G1591">
        <v>1.2E-2</v>
      </c>
      <c r="H1591" t="s">
        <v>11</v>
      </c>
    </row>
    <row r="1592" spans="1:8" x14ac:dyDescent="0.25">
      <c r="A1592" t="str">
        <f t="shared" si="24"/>
        <v>31-Jul-18</v>
      </c>
      <c r="B1592" t="s">
        <v>7</v>
      </c>
      <c r="C1592" t="s">
        <v>8</v>
      </c>
      <c r="D1592" t="str">
        <f>"983919101"</f>
        <v>983919101</v>
      </c>
      <c r="E1592" t="s">
        <v>1606</v>
      </c>
      <c r="F1592" t="s">
        <v>7</v>
      </c>
      <c r="G1592">
        <v>3.9E-2</v>
      </c>
      <c r="H1592" t="s">
        <v>11</v>
      </c>
    </row>
    <row r="1593" spans="1:8" x14ac:dyDescent="0.25">
      <c r="A1593" t="str">
        <f t="shared" si="24"/>
        <v>31-Jul-18</v>
      </c>
      <c r="B1593" t="s">
        <v>7</v>
      </c>
      <c r="C1593" t="s">
        <v>8</v>
      </c>
      <c r="D1593" t="str">
        <f>"98419M100"</f>
        <v>98419M100</v>
      </c>
      <c r="E1593" t="s">
        <v>1607</v>
      </c>
      <c r="F1593" t="s">
        <v>7</v>
      </c>
      <c r="G1593">
        <v>6.8000000000000005E-2</v>
      </c>
      <c r="H1593" t="s">
        <v>11</v>
      </c>
    </row>
    <row r="1594" spans="1:8" x14ac:dyDescent="0.25">
      <c r="A1594" t="str">
        <f t="shared" si="24"/>
        <v>31-Jul-18</v>
      </c>
      <c r="B1594" t="s">
        <v>7</v>
      </c>
      <c r="C1594" t="s">
        <v>8</v>
      </c>
      <c r="D1594" t="str">
        <f>"988498101"</f>
        <v>988498101</v>
      </c>
      <c r="E1594" t="s">
        <v>1608</v>
      </c>
      <c r="F1594" t="s">
        <v>7</v>
      </c>
      <c r="G1594">
        <v>3.2000000000000001E-2</v>
      </c>
      <c r="H1594" t="s">
        <v>11</v>
      </c>
    </row>
    <row r="1595" spans="1:8" x14ac:dyDescent="0.25">
      <c r="A1595" t="str">
        <f t="shared" si="24"/>
        <v>31-Jul-18</v>
      </c>
      <c r="B1595" t="s">
        <v>7</v>
      </c>
      <c r="C1595" t="s">
        <v>8</v>
      </c>
      <c r="D1595" t="str">
        <f>"98919V105"</f>
        <v>98919V105</v>
      </c>
      <c r="E1595" t="s">
        <v>1609</v>
      </c>
      <c r="F1595" t="s">
        <v>7</v>
      </c>
      <c r="G1595">
        <v>1.2E-2</v>
      </c>
      <c r="H1595" t="s">
        <v>11</v>
      </c>
    </row>
    <row r="1596" spans="1:8" x14ac:dyDescent="0.25">
      <c r="A1596" t="str">
        <f t="shared" si="24"/>
        <v>31-Jul-18</v>
      </c>
      <c r="B1596" t="s">
        <v>7</v>
      </c>
      <c r="C1596" t="s">
        <v>8</v>
      </c>
      <c r="D1596" t="str">
        <f>"98954M200"</f>
        <v>98954M200</v>
      </c>
      <c r="E1596" t="s">
        <v>1610</v>
      </c>
      <c r="F1596" t="s">
        <v>7</v>
      </c>
      <c r="G1596">
        <v>6.0000000000000001E-3</v>
      </c>
      <c r="H1596" t="s">
        <v>11</v>
      </c>
    </row>
    <row r="1597" spans="1:8" x14ac:dyDescent="0.25">
      <c r="A1597" t="str">
        <f t="shared" si="24"/>
        <v>31-Jul-18</v>
      </c>
      <c r="B1597" t="s">
        <v>7</v>
      </c>
      <c r="C1597" t="s">
        <v>8</v>
      </c>
      <c r="D1597" t="str">
        <f>"98956P102"</f>
        <v>98956P102</v>
      </c>
      <c r="E1597" t="s">
        <v>1611</v>
      </c>
      <c r="F1597" t="s">
        <v>7</v>
      </c>
      <c r="G1597">
        <v>2.9000000000000001E-2</v>
      </c>
      <c r="H1597" t="s">
        <v>11</v>
      </c>
    </row>
    <row r="1598" spans="1:8" x14ac:dyDescent="0.25">
      <c r="A1598" t="str">
        <f t="shared" si="24"/>
        <v>31-Jul-18</v>
      </c>
      <c r="B1598" t="s">
        <v>7</v>
      </c>
      <c r="C1598" t="s">
        <v>8</v>
      </c>
      <c r="D1598" t="str">
        <f>"989701107"</f>
        <v>989701107</v>
      </c>
      <c r="E1598" t="s">
        <v>1612</v>
      </c>
      <c r="F1598" t="s">
        <v>7</v>
      </c>
      <c r="G1598">
        <v>0.02</v>
      </c>
      <c r="H1598" t="s">
        <v>11</v>
      </c>
    </row>
    <row r="1599" spans="1:8" x14ac:dyDescent="0.25">
      <c r="A1599" t="str">
        <f t="shared" si="24"/>
        <v>31-Jul-18</v>
      </c>
      <c r="B1599" t="s">
        <v>7</v>
      </c>
      <c r="C1599" t="s">
        <v>8</v>
      </c>
      <c r="D1599" t="str">
        <f>"98978V103"</f>
        <v>98978V103</v>
      </c>
      <c r="E1599" t="s">
        <v>1613</v>
      </c>
      <c r="F1599" t="s">
        <v>7</v>
      </c>
      <c r="G1599">
        <v>0.20599999999999999</v>
      </c>
      <c r="H1599" t="s">
        <v>11</v>
      </c>
    </row>
    <row r="1600" spans="1:8" x14ac:dyDescent="0.25">
      <c r="A1600" t="str">
        <f t="shared" si="24"/>
        <v>31-Jul-18</v>
      </c>
      <c r="B1600" t="s">
        <v>7</v>
      </c>
      <c r="C1600" t="s">
        <v>8</v>
      </c>
      <c r="D1600" t="str">
        <f>"278642103"</f>
        <v>278642103</v>
      </c>
      <c r="E1600" t="s">
        <v>1614</v>
      </c>
      <c r="F1600" t="s">
        <v>7</v>
      </c>
      <c r="G1600">
        <v>7.0999999999999994E-2</v>
      </c>
      <c r="H1600" t="s">
        <v>11</v>
      </c>
    </row>
    <row r="1601" spans="1:8" x14ac:dyDescent="0.25">
      <c r="A1601" t="str">
        <f t="shared" si="24"/>
        <v>31-Jul-18</v>
      </c>
      <c r="B1601" t="s">
        <v>7</v>
      </c>
      <c r="C1601" t="s">
        <v>8</v>
      </c>
      <c r="D1601" t="str">
        <f>"79466L302"</f>
        <v>79466L302</v>
      </c>
      <c r="E1601" t="s">
        <v>1615</v>
      </c>
      <c r="F1601" t="s">
        <v>7</v>
      </c>
      <c r="G1601">
        <v>0.39500000000000002</v>
      </c>
      <c r="H1601" t="s">
        <v>11</v>
      </c>
    </row>
    <row r="1602" spans="1:8" x14ac:dyDescent="0.25">
      <c r="A1602" t="str">
        <f t="shared" si="24"/>
        <v>31-Jul-18</v>
      </c>
      <c r="B1602" t="s">
        <v>7</v>
      </c>
      <c r="C1602" t="s">
        <v>462</v>
      </c>
      <c r="D1602" t="str">
        <f>"ESU8"</f>
        <v>ESU8</v>
      </c>
      <c r="E1602" t="s">
        <v>1616</v>
      </c>
      <c r="F1602" t="s">
        <v>7</v>
      </c>
      <c r="G1602">
        <v>0</v>
      </c>
    </row>
    <row r="1603" spans="1:8" x14ac:dyDescent="0.25">
      <c r="A1603" t="str">
        <f t="shared" si="24"/>
        <v>31-Jul-18</v>
      </c>
      <c r="B1603" t="s">
        <v>7</v>
      </c>
      <c r="C1603" t="s">
        <v>75</v>
      </c>
      <c r="F1603" t="s">
        <v>7</v>
      </c>
      <c r="G1603">
        <v>0.23899999999999999</v>
      </c>
      <c r="H1603" t="s">
        <v>1617</v>
      </c>
    </row>
    <row r="1604" spans="1:8" x14ac:dyDescent="0.25">
      <c r="A1604" t="str">
        <f t="shared" si="24"/>
        <v>31-Jul-18</v>
      </c>
      <c r="B1604" t="s">
        <v>7</v>
      </c>
      <c r="C1604" t="s">
        <v>1618</v>
      </c>
      <c r="F1604" t="s">
        <v>7</v>
      </c>
      <c r="G1604">
        <v>0</v>
      </c>
      <c r="H1604" t="s">
        <v>1619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Holdings 2018 07 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Breading</dc:creator>
  <cp:lastModifiedBy>Adrian Breading</cp:lastModifiedBy>
  <dcterms:created xsi:type="dcterms:W3CDTF">2018-08-03T13:15:35Z</dcterms:created>
  <dcterms:modified xsi:type="dcterms:W3CDTF">2018-08-14T12:02:34Z</dcterms:modified>
</cp:coreProperties>
</file>